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8  CEDRI - Érika\Estrutura\"/>
    </mc:Choice>
  </mc:AlternateContent>
  <xr:revisionPtr revIDLastSave="0" documentId="13_ncr:1_{29A95411-EF38-4F7A-AF13-7255155E20C3}" xr6:coauthVersionLast="47" xr6:coauthVersionMax="47" xr10:uidLastSave="{00000000-0000-0000-0000-000000000000}"/>
  <bookViews>
    <workbookView xWindow="-108" yWindow="-108" windowWidth="18648" windowHeight="9984" firstSheet="24" activeTab="29" xr2:uid="{EEF72B07-B671-4E8B-BF13-F27BE4226605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34" r:id="rId20"/>
    <sheet name="CONSISTENCIA" sheetId="27" r:id="rId21"/>
    <sheet name="TUSD" sheetId="29" r:id="rId22"/>
    <sheet name="TE" sheetId="30" r:id="rId23"/>
    <sheet name="RESUMO TUSD" sheetId="31" r:id="rId24"/>
    <sheet name="RESUMO TE" sheetId="32" r:id="rId25"/>
    <sheet name="Descontos" sheetId="20" r:id="rId26"/>
    <sheet name="ERD" sheetId="33" r:id="rId27"/>
    <sheet name="TA - Aplicação" sheetId="35" r:id="rId28"/>
    <sheet name="TA - BE" sheetId="36" r:id="rId29"/>
    <sheet name="TA - CVA" sheetId="37" r:id="rId30"/>
  </sheets>
  <definedNames>
    <definedName name="DadosExternos_1" localSheetId="27" hidden="1">'TA - Aplicação'!$B$3:$AT$50</definedName>
    <definedName name="DadosExternos_1" localSheetId="28" hidden="1">'TA - BE'!$B$3:$AT$50</definedName>
    <definedName name="DadosExternos_1" localSheetId="29" hidden="1">'TA - CVA'!$B$3:$AT$50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34" l="1"/>
  <c r="V32" i="34"/>
  <c r="V31" i="34"/>
  <c r="V30" i="34"/>
  <c r="V29" i="34"/>
  <c r="V28" i="34"/>
  <c r="V27" i="34"/>
  <c r="V26" i="34"/>
  <c r="V21" i="34"/>
  <c r="V16" i="34"/>
  <c r="V25" i="34"/>
  <c r="V20" i="34"/>
  <c r="V15" i="34"/>
  <c r="V24" i="34"/>
  <c r="V23" i="34"/>
  <c r="V22" i="34"/>
  <c r="V19" i="34"/>
  <c r="V18" i="34"/>
  <c r="V17" i="34"/>
  <c r="V14" i="34"/>
  <c r="V13" i="34"/>
  <c r="V12" i="34"/>
  <c r="V11" i="34"/>
  <c r="V9" i="34"/>
  <c r="V10" i="34"/>
  <c r="V8" i="34"/>
  <c r="V7" i="34"/>
  <c r="V6" i="34"/>
  <c r="V5" i="34"/>
  <c r="J11" i="34"/>
  <c r="J10" i="34"/>
  <c r="J6" i="34"/>
  <c r="J5" i="34"/>
  <c r="I3" i="33"/>
  <c r="I2" i="33" s="1"/>
  <c r="B2" i="33"/>
  <c r="C2" i="33"/>
  <c r="D2" i="33"/>
  <c r="E2" i="33"/>
  <c r="F2" i="33"/>
  <c r="G2" i="33"/>
  <c r="H2" i="33"/>
  <c r="J2" i="33"/>
  <c r="K2" i="33"/>
  <c r="L2" i="33"/>
  <c r="B11" i="33"/>
  <c r="L5" i="32" l="1"/>
  <c r="K5" i="32"/>
  <c r="J5" i="32"/>
  <c r="I5" i="32"/>
  <c r="H5" i="32"/>
  <c r="G5" i="32"/>
  <c r="F5" i="32"/>
  <c r="E5" i="32"/>
  <c r="D5" i="32"/>
  <c r="C5" i="32"/>
  <c r="B5" i="32"/>
  <c r="I2" i="32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I2" i="31"/>
  <c r="AE13" i="27"/>
  <c r="AD13" i="27"/>
  <c r="AC13" i="27"/>
  <c r="AB13" i="27"/>
  <c r="AA13" i="27"/>
  <c r="W13" i="27"/>
  <c r="V13" i="27"/>
  <c r="U13" i="27"/>
  <c r="T13" i="27"/>
  <c r="S13" i="27"/>
  <c r="Y13" i="27" s="1"/>
  <c r="AG13" i="27" s="1"/>
  <c r="R13" i="27"/>
  <c r="AE12" i="27"/>
  <c r="AD12" i="27"/>
  <c r="AE8" i="27"/>
  <c r="AD8" i="27"/>
  <c r="AC8" i="27"/>
  <c r="AB8" i="27"/>
  <c r="AA8" i="27"/>
  <c r="W8" i="27"/>
  <c r="V8" i="27"/>
  <c r="U8" i="27"/>
  <c r="AI8" i="27" s="1"/>
  <c r="T8" i="27"/>
  <c r="S8" i="27"/>
  <c r="Y8" i="27" s="1"/>
  <c r="AG8" i="27" s="1"/>
  <c r="R8" i="27"/>
  <c r="AE6" i="27"/>
  <c r="AD6" i="27"/>
  <c r="AC6" i="27"/>
  <c r="AB6" i="27"/>
  <c r="AA6" i="27"/>
  <c r="W6" i="27"/>
  <c r="V6" i="27"/>
  <c r="U6" i="27"/>
  <c r="T6" i="27"/>
  <c r="S6" i="27"/>
  <c r="R6" i="27"/>
  <c r="X6" i="27" s="1"/>
  <c r="AE5" i="27"/>
  <c r="AD5" i="27"/>
  <c r="AC5" i="27"/>
  <c r="AB5" i="27"/>
  <c r="AA5" i="27"/>
  <c r="W5" i="27"/>
  <c r="V5" i="27"/>
  <c r="U5" i="27"/>
  <c r="T5" i="27"/>
  <c r="S5" i="27"/>
  <c r="R5" i="27"/>
  <c r="AE4" i="27"/>
  <c r="AD4" i="27"/>
  <c r="AC4" i="27"/>
  <c r="AB4" i="27"/>
  <c r="AA4" i="27"/>
  <c r="W4" i="27"/>
  <c r="V4" i="27"/>
  <c r="U4" i="27"/>
  <c r="AI4" i="27" s="1"/>
  <c r="T4" i="27"/>
  <c r="S4" i="27"/>
  <c r="R4" i="27"/>
  <c r="AE3" i="27"/>
  <c r="AD3" i="27"/>
  <c r="AC3" i="27"/>
  <c r="AB3" i="27"/>
  <c r="AA3" i="27"/>
  <c r="W3" i="27"/>
  <c r="V3" i="27"/>
  <c r="U3" i="27"/>
  <c r="T3" i="27"/>
  <c r="S3" i="27"/>
  <c r="R3" i="27"/>
  <c r="J288" i="27"/>
  <c r="M288" i="27" s="1"/>
  <c r="J287" i="27"/>
  <c r="M287" i="27" s="1"/>
  <c r="J286" i="27"/>
  <c r="J285" i="27"/>
  <c r="M285" i="27" s="1"/>
  <c r="J284" i="27"/>
  <c r="M284" i="27" s="1"/>
  <c r="J283" i="27"/>
  <c r="M283" i="27" s="1"/>
  <c r="J282" i="27"/>
  <c r="M282" i="27" s="1"/>
  <c r="J281" i="27"/>
  <c r="M281" i="27" s="1"/>
  <c r="J280" i="27"/>
  <c r="M280" i="27" s="1"/>
  <c r="J279" i="27"/>
  <c r="M279" i="27" s="1"/>
  <c r="J278" i="27"/>
  <c r="J277" i="27"/>
  <c r="J109" i="27"/>
  <c r="M109" i="27" s="1"/>
  <c r="J108" i="27"/>
  <c r="J107" i="27"/>
  <c r="J106" i="27"/>
  <c r="J105" i="27"/>
  <c r="J104" i="27"/>
  <c r="J103" i="27"/>
  <c r="J102" i="27"/>
  <c r="J101" i="27"/>
  <c r="M101" i="27" s="1"/>
  <c r="J100" i="27"/>
  <c r="J99" i="27"/>
  <c r="J98" i="27"/>
  <c r="L97" i="27"/>
  <c r="O97" i="27" s="1"/>
  <c r="K97" i="27"/>
  <c r="L96" i="27"/>
  <c r="K96" i="27"/>
  <c r="L95" i="27"/>
  <c r="O95" i="27" s="1"/>
  <c r="K95" i="27"/>
  <c r="L94" i="27"/>
  <c r="K94" i="27"/>
  <c r="L93" i="27"/>
  <c r="O93" i="27" s="1"/>
  <c r="K93" i="27"/>
  <c r="L92" i="27"/>
  <c r="K92" i="27"/>
  <c r="L91" i="27"/>
  <c r="O91" i="27" s="1"/>
  <c r="K91" i="27"/>
  <c r="L90" i="27"/>
  <c r="K90" i="27"/>
  <c r="L89" i="27"/>
  <c r="O89" i="27" s="1"/>
  <c r="K89" i="27"/>
  <c r="L88" i="27"/>
  <c r="K88" i="27"/>
  <c r="L87" i="27"/>
  <c r="O87" i="27" s="1"/>
  <c r="K87" i="27"/>
  <c r="L86" i="27"/>
  <c r="K86" i="27"/>
  <c r="J85" i="27"/>
  <c r="M85" i="27" s="1"/>
  <c r="J84" i="27"/>
  <c r="J83" i="27"/>
  <c r="J82" i="27"/>
  <c r="J81" i="27"/>
  <c r="M81" i="27" s="1"/>
  <c r="J80" i="27"/>
  <c r="J79" i="27"/>
  <c r="J78" i="27"/>
  <c r="J77" i="27"/>
  <c r="M77" i="27" s="1"/>
  <c r="J76" i="27"/>
  <c r="J75" i="27"/>
  <c r="J74" i="27"/>
  <c r="M300" i="27"/>
  <c r="J300" i="27"/>
  <c r="J299" i="27"/>
  <c r="M299" i="27" s="1"/>
  <c r="J298" i="27"/>
  <c r="M298" i="27" s="1"/>
  <c r="J297" i="27"/>
  <c r="M297" i="27" s="1"/>
  <c r="J296" i="27"/>
  <c r="M296" i="27" s="1"/>
  <c r="J295" i="27"/>
  <c r="M295" i="27" s="1"/>
  <c r="J294" i="27"/>
  <c r="M294" i="27" s="1"/>
  <c r="J293" i="27"/>
  <c r="M293" i="27" s="1"/>
  <c r="J292" i="27"/>
  <c r="M292" i="27" s="1"/>
  <c r="M291" i="27"/>
  <c r="J291" i="27"/>
  <c r="J290" i="27"/>
  <c r="M290" i="27" s="1"/>
  <c r="J289" i="27"/>
  <c r="M286" i="27"/>
  <c r="M278" i="27"/>
  <c r="M277" i="27"/>
  <c r="J276" i="27"/>
  <c r="M276" i="27" s="1"/>
  <c r="J275" i="27"/>
  <c r="M275" i="27" s="1"/>
  <c r="J274" i="27"/>
  <c r="M274" i="27" s="1"/>
  <c r="J273" i="27"/>
  <c r="M273" i="27" s="1"/>
  <c r="J272" i="27"/>
  <c r="M272" i="27" s="1"/>
  <c r="J271" i="27"/>
  <c r="M271" i="27" s="1"/>
  <c r="J270" i="27"/>
  <c r="M270" i="27" s="1"/>
  <c r="J269" i="27"/>
  <c r="M269" i="27" s="1"/>
  <c r="J268" i="27"/>
  <c r="M268" i="27" s="1"/>
  <c r="J267" i="27"/>
  <c r="M267" i="27" s="1"/>
  <c r="M266" i="27"/>
  <c r="J266" i="27"/>
  <c r="J265" i="27"/>
  <c r="M265" i="27" s="1"/>
  <c r="M264" i="27"/>
  <c r="J264" i="27"/>
  <c r="J263" i="27"/>
  <c r="M263" i="27" s="1"/>
  <c r="M262" i="27"/>
  <c r="J262" i="27"/>
  <c r="M261" i="27"/>
  <c r="J261" i="27"/>
  <c r="J260" i="27"/>
  <c r="M260" i="27" s="1"/>
  <c r="J259" i="27"/>
  <c r="M259" i="27" s="1"/>
  <c r="J258" i="27"/>
  <c r="M258" i="27" s="1"/>
  <c r="J257" i="27"/>
  <c r="M257" i="27" s="1"/>
  <c r="J256" i="27"/>
  <c r="M256" i="27" s="1"/>
  <c r="J255" i="27"/>
  <c r="M255" i="27" s="1"/>
  <c r="J254" i="27"/>
  <c r="M254" i="27" s="1"/>
  <c r="M253" i="27"/>
  <c r="J253" i="27"/>
  <c r="J252" i="27"/>
  <c r="J251" i="27"/>
  <c r="M251" i="27" s="1"/>
  <c r="J250" i="27"/>
  <c r="M250" i="27" s="1"/>
  <c r="M249" i="27"/>
  <c r="J249" i="27"/>
  <c r="J248" i="27"/>
  <c r="M248" i="27" s="1"/>
  <c r="J247" i="27"/>
  <c r="M247" i="27" s="1"/>
  <c r="J246" i="27"/>
  <c r="M246" i="27" s="1"/>
  <c r="J245" i="27"/>
  <c r="M245" i="27" s="1"/>
  <c r="J244" i="27"/>
  <c r="M244" i="27" s="1"/>
  <c r="J243" i="27"/>
  <c r="M243" i="27" s="1"/>
  <c r="J242" i="27"/>
  <c r="M242" i="27" s="1"/>
  <c r="J241" i="27"/>
  <c r="M241" i="27" s="1"/>
  <c r="J240" i="27"/>
  <c r="M240" i="27" s="1"/>
  <c r="J239" i="27"/>
  <c r="M239" i="27" s="1"/>
  <c r="J238" i="27"/>
  <c r="M238" i="27" s="1"/>
  <c r="J237" i="27"/>
  <c r="M237" i="27" s="1"/>
  <c r="J236" i="27"/>
  <c r="M236" i="27" s="1"/>
  <c r="J235" i="27"/>
  <c r="M235" i="27" s="1"/>
  <c r="J234" i="27"/>
  <c r="M234" i="27" s="1"/>
  <c r="M233" i="27"/>
  <c r="J233" i="27"/>
  <c r="M232" i="27"/>
  <c r="J232" i="27"/>
  <c r="J231" i="27"/>
  <c r="M231" i="27" s="1"/>
  <c r="M230" i="27"/>
  <c r="J230" i="27"/>
  <c r="M229" i="27"/>
  <c r="J229" i="27"/>
  <c r="J228" i="27"/>
  <c r="M228" i="27" s="1"/>
  <c r="M227" i="27"/>
  <c r="J227" i="27"/>
  <c r="M226" i="27"/>
  <c r="J226" i="27"/>
  <c r="J225" i="27"/>
  <c r="M225" i="27" s="1"/>
  <c r="J224" i="27"/>
  <c r="M223" i="27"/>
  <c r="J223" i="27"/>
  <c r="J222" i="27"/>
  <c r="M222" i="27" s="1"/>
  <c r="J221" i="27"/>
  <c r="M221" i="27" s="1"/>
  <c r="J220" i="27"/>
  <c r="M220" i="27" s="1"/>
  <c r="J219" i="27"/>
  <c r="M219" i="27" s="1"/>
  <c r="J218" i="27"/>
  <c r="M218" i="27" s="1"/>
  <c r="M217" i="27"/>
  <c r="J217" i="27"/>
  <c r="J216" i="27"/>
  <c r="M216" i="27" s="1"/>
  <c r="J215" i="27"/>
  <c r="M215" i="27" s="1"/>
  <c r="M214" i="27"/>
  <c r="J214" i="27"/>
  <c r="J213" i="27"/>
  <c r="M213" i="27" s="1"/>
  <c r="J212" i="27"/>
  <c r="M212" i="27" s="1"/>
  <c r="J211" i="27"/>
  <c r="M211" i="27" s="1"/>
  <c r="J210" i="27"/>
  <c r="M210" i="27" s="1"/>
  <c r="J209" i="27"/>
  <c r="M209" i="27" s="1"/>
  <c r="J208" i="27"/>
  <c r="M208" i="27" s="1"/>
  <c r="J207" i="27"/>
  <c r="M207" i="27" s="1"/>
  <c r="J206" i="27"/>
  <c r="M206" i="27" s="1"/>
  <c r="J205" i="27"/>
  <c r="M205" i="27" s="1"/>
  <c r="J204" i="27"/>
  <c r="M204" i="27" s="1"/>
  <c r="J203" i="27"/>
  <c r="M203" i="27" s="1"/>
  <c r="M202" i="27"/>
  <c r="J202" i="27"/>
  <c r="J201" i="27"/>
  <c r="M201" i="27" s="1"/>
  <c r="J200" i="27"/>
  <c r="M200" i="27" s="1"/>
  <c r="J199" i="27"/>
  <c r="M199" i="27" s="1"/>
  <c r="J198" i="27"/>
  <c r="M198" i="27" s="1"/>
  <c r="J197" i="27"/>
  <c r="M197" i="27" s="1"/>
  <c r="J196" i="27"/>
  <c r="M196" i="27" s="1"/>
  <c r="M195" i="27"/>
  <c r="J195" i="27"/>
  <c r="J194" i="27"/>
  <c r="M194" i="27" s="1"/>
  <c r="M193" i="27"/>
  <c r="J193" i="27"/>
  <c r="J192" i="27"/>
  <c r="M192" i="27" s="1"/>
  <c r="J191" i="27"/>
  <c r="M191" i="27" s="1"/>
  <c r="J190" i="27"/>
  <c r="M190" i="27" s="1"/>
  <c r="J189" i="27"/>
  <c r="M189" i="27" s="1"/>
  <c r="J188" i="27"/>
  <c r="M188" i="27" s="1"/>
  <c r="J187" i="27"/>
  <c r="M187" i="27" s="1"/>
  <c r="J186" i="27"/>
  <c r="M186" i="27" s="1"/>
  <c r="J185" i="27"/>
  <c r="M185" i="27" s="1"/>
  <c r="J184" i="27"/>
  <c r="M184" i="27" s="1"/>
  <c r="J183" i="27"/>
  <c r="M183" i="27" s="1"/>
  <c r="J182" i="27"/>
  <c r="M182" i="27" s="1"/>
  <c r="M181" i="27"/>
  <c r="J181" i="27"/>
  <c r="J180" i="27"/>
  <c r="M180" i="27" s="1"/>
  <c r="M179" i="27"/>
  <c r="J179" i="27"/>
  <c r="J178" i="27"/>
  <c r="M178" i="27" s="1"/>
  <c r="J177" i="27"/>
  <c r="M177" i="27" s="1"/>
  <c r="J176" i="27"/>
  <c r="M176" i="27" s="1"/>
  <c r="J175" i="27"/>
  <c r="M175" i="27" s="1"/>
  <c r="J174" i="27"/>
  <c r="M174" i="27" s="1"/>
  <c r="J173" i="27"/>
  <c r="M173" i="27" s="1"/>
  <c r="J172" i="27"/>
  <c r="M172" i="27" s="1"/>
  <c r="J171" i="27"/>
  <c r="M171" i="27" s="1"/>
  <c r="J170" i="27"/>
  <c r="M170" i="27" s="1"/>
  <c r="J169" i="27"/>
  <c r="M169" i="27" s="1"/>
  <c r="J168" i="27"/>
  <c r="M168" i="27" s="1"/>
  <c r="M167" i="27"/>
  <c r="J167" i="27"/>
  <c r="J166" i="27"/>
  <c r="M166" i="27" s="1"/>
  <c r="J165" i="27"/>
  <c r="M165" i="27" s="1"/>
  <c r="M164" i="27"/>
  <c r="J164" i="27"/>
  <c r="M163" i="27"/>
  <c r="J163" i="27"/>
  <c r="J162" i="27"/>
  <c r="M162" i="27" s="1"/>
  <c r="M161" i="27"/>
  <c r="J161" i="27"/>
  <c r="J160" i="27"/>
  <c r="M160" i="27" s="1"/>
  <c r="J159" i="27"/>
  <c r="M159" i="27" s="1"/>
  <c r="J158" i="27"/>
  <c r="M158" i="27" s="1"/>
  <c r="J157" i="27"/>
  <c r="M157" i="27" s="1"/>
  <c r="J156" i="27"/>
  <c r="M156" i="27" s="1"/>
  <c r="M155" i="27"/>
  <c r="J155" i="27"/>
  <c r="J154" i="27"/>
  <c r="M154" i="27" s="1"/>
  <c r="M153" i="27"/>
  <c r="J153" i="27"/>
  <c r="J152" i="27"/>
  <c r="M152" i="27" s="1"/>
  <c r="J151" i="27"/>
  <c r="M151" i="27" s="1"/>
  <c r="J150" i="27"/>
  <c r="M150" i="27" s="1"/>
  <c r="J149" i="27"/>
  <c r="M149" i="27" s="1"/>
  <c r="J148" i="27"/>
  <c r="M148" i="27" s="1"/>
  <c r="J147" i="27"/>
  <c r="M147" i="27" s="1"/>
  <c r="J146" i="27"/>
  <c r="M146" i="27" s="1"/>
  <c r="M145" i="27"/>
  <c r="J145" i="27"/>
  <c r="J144" i="27"/>
  <c r="M144" i="27" s="1"/>
  <c r="J143" i="27"/>
  <c r="M143" i="27" s="1"/>
  <c r="J142" i="27"/>
  <c r="M142" i="27" s="1"/>
  <c r="J141" i="27"/>
  <c r="M141" i="27" s="1"/>
  <c r="M140" i="27"/>
  <c r="J140" i="27"/>
  <c r="J139" i="27"/>
  <c r="M139" i="27" s="1"/>
  <c r="J138" i="27"/>
  <c r="M138" i="27" s="1"/>
  <c r="M137" i="27"/>
  <c r="J137" i="27"/>
  <c r="M136" i="27"/>
  <c r="J136" i="27"/>
  <c r="J135" i="27"/>
  <c r="M135" i="27" s="1"/>
  <c r="M134" i="27"/>
  <c r="J134" i="27"/>
  <c r="J133" i="27"/>
  <c r="M133" i="27" s="1"/>
  <c r="J132" i="27"/>
  <c r="M132" i="27" s="1"/>
  <c r="J131" i="27"/>
  <c r="M131" i="27" s="1"/>
  <c r="J130" i="27"/>
  <c r="M130" i="27" s="1"/>
  <c r="J129" i="27"/>
  <c r="M129" i="27" s="1"/>
  <c r="J128" i="27"/>
  <c r="M128" i="27" s="1"/>
  <c r="J127" i="27"/>
  <c r="M127" i="27" s="1"/>
  <c r="J126" i="27"/>
  <c r="M126" i="27" s="1"/>
  <c r="J125" i="27"/>
  <c r="M125" i="27" s="1"/>
  <c r="J124" i="27"/>
  <c r="M124" i="27" s="1"/>
  <c r="J123" i="27"/>
  <c r="M123" i="27" s="1"/>
  <c r="M122" i="27"/>
  <c r="J122" i="27"/>
  <c r="J121" i="27"/>
  <c r="M121" i="27" s="1"/>
  <c r="J120" i="27"/>
  <c r="M120" i="27" s="1"/>
  <c r="J119" i="27"/>
  <c r="M119" i="27" s="1"/>
  <c r="J118" i="27"/>
  <c r="M118" i="27" s="1"/>
  <c r="M117" i="27"/>
  <c r="J117" i="27"/>
  <c r="M116" i="27"/>
  <c r="J116" i="27"/>
  <c r="J115" i="27"/>
  <c r="M115" i="27" s="1"/>
  <c r="M114" i="27"/>
  <c r="J114" i="27"/>
  <c r="M113" i="27"/>
  <c r="J113" i="27"/>
  <c r="J112" i="27"/>
  <c r="M112" i="27" s="1"/>
  <c r="J111" i="27"/>
  <c r="M111" i="27" s="1"/>
  <c r="J110" i="27"/>
  <c r="M110" i="27" s="1"/>
  <c r="M108" i="27"/>
  <c r="M107" i="27"/>
  <c r="M106" i="27"/>
  <c r="M105" i="27"/>
  <c r="M104" i="27"/>
  <c r="M103" i="27"/>
  <c r="M102" i="27"/>
  <c r="M100" i="27"/>
  <c r="M99" i="27"/>
  <c r="M98" i="27"/>
  <c r="N97" i="27"/>
  <c r="O96" i="27"/>
  <c r="N96" i="27"/>
  <c r="N95" i="27"/>
  <c r="O94" i="27"/>
  <c r="N94" i="27"/>
  <c r="N93" i="27"/>
  <c r="O92" i="27"/>
  <c r="N92" i="27"/>
  <c r="N91" i="27"/>
  <c r="O90" i="27"/>
  <c r="N90" i="27"/>
  <c r="N89" i="27"/>
  <c r="O88" i="27"/>
  <c r="N88" i="27"/>
  <c r="N87" i="27"/>
  <c r="O86" i="27"/>
  <c r="N86" i="27"/>
  <c r="M84" i="27"/>
  <c r="M83" i="27"/>
  <c r="M82" i="27"/>
  <c r="M80" i="27"/>
  <c r="M79" i="27"/>
  <c r="M78" i="27"/>
  <c r="M76" i="27"/>
  <c r="M75" i="27"/>
  <c r="M74" i="27"/>
  <c r="L73" i="27"/>
  <c r="O73" i="27" s="1"/>
  <c r="J73" i="27"/>
  <c r="M73" i="27" s="1"/>
  <c r="M72" i="27"/>
  <c r="L72" i="27"/>
  <c r="O72" i="27" s="1"/>
  <c r="J72" i="27"/>
  <c r="L71" i="27"/>
  <c r="O71" i="27" s="1"/>
  <c r="J71" i="27"/>
  <c r="M71" i="27" s="1"/>
  <c r="L70" i="27"/>
  <c r="O70" i="27" s="1"/>
  <c r="J70" i="27"/>
  <c r="M70" i="27" s="1"/>
  <c r="L69" i="27"/>
  <c r="O69" i="27" s="1"/>
  <c r="J69" i="27"/>
  <c r="M69" i="27" s="1"/>
  <c r="L68" i="27"/>
  <c r="O68" i="27" s="1"/>
  <c r="J68" i="27"/>
  <c r="M68" i="27" s="1"/>
  <c r="M67" i="27"/>
  <c r="L67" i="27"/>
  <c r="O67" i="27" s="1"/>
  <c r="J67" i="27"/>
  <c r="L66" i="27"/>
  <c r="O66" i="27" s="1"/>
  <c r="J66" i="27"/>
  <c r="M66" i="27" s="1"/>
  <c r="L65" i="27"/>
  <c r="O65" i="27" s="1"/>
  <c r="J65" i="27"/>
  <c r="M65" i="27" s="1"/>
  <c r="L64" i="27"/>
  <c r="O64" i="27" s="1"/>
  <c r="J64" i="27"/>
  <c r="M64" i="27" s="1"/>
  <c r="L63" i="27"/>
  <c r="O63" i="27" s="1"/>
  <c r="J63" i="27"/>
  <c r="M63" i="27" s="1"/>
  <c r="M62" i="27"/>
  <c r="L62" i="27"/>
  <c r="O62" i="27" s="1"/>
  <c r="J62" i="27"/>
  <c r="L61" i="27"/>
  <c r="O61" i="27" s="1"/>
  <c r="K61" i="27"/>
  <c r="N61" i="27" s="1"/>
  <c r="L60" i="27"/>
  <c r="O60" i="27" s="1"/>
  <c r="K60" i="27"/>
  <c r="N60" i="27" s="1"/>
  <c r="L59" i="27"/>
  <c r="O59" i="27" s="1"/>
  <c r="K59" i="27"/>
  <c r="N59" i="27" s="1"/>
  <c r="L58" i="27"/>
  <c r="O58" i="27" s="1"/>
  <c r="K58" i="27"/>
  <c r="N58" i="27" s="1"/>
  <c r="L57" i="27"/>
  <c r="O57" i="27" s="1"/>
  <c r="K57" i="27"/>
  <c r="N57" i="27" s="1"/>
  <c r="L56" i="27"/>
  <c r="O56" i="27" s="1"/>
  <c r="K56" i="27"/>
  <c r="N56" i="27" s="1"/>
  <c r="L55" i="27"/>
  <c r="O55" i="27" s="1"/>
  <c r="K55" i="27"/>
  <c r="N55" i="27" s="1"/>
  <c r="L54" i="27"/>
  <c r="O54" i="27" s="1"/>
  <c r="K54" i="27"/>
  <c r="N54" i="27" s="1"/>
  <c r="L53" i="27"/>
  <c r="O53" i="27" s="1"/>
  <c r="K53" i="27"/>
  <c r="N53" i="27" s="1"/>
  <c r="L52" i="27"/>
  <c r="O52" i="27" s="1"/>
  <c r="K52" i="27"/>
  <c r="N52" i="27" s="1"/>
  <c r="L51" i="27"/>
  <c r="O51" i="27" s="1"/>
  <c r="K51" i="27"/>
  <c r="N51" i="27" s="1"/>
  <c r="L50" i="27"/>
  <c r="O50" i="27" s="1"/>
  <c r="K50" i="27"/>
  <c r="N50" i="27" s="1"/>
  <c r="L49" i="27"/>
  <c r="O49" i="27" s="1"/>
  <c r="J49" i="27"/>
  <c r="M49" i="27" s="1"/>
  <c r="L48" i="27"/>
  <c r="O48" i="27" s="1"/>
  <c r="J48" i="27"/>
  <c r="M48" i="27" s="1"/>
  <c r="L47" i="27"/>
  <c r="O47" i="27" s="1"/>
  <c r="J47" i="27"/>
  <c r="M47" i="27" s="1"/>
  <c r="L46" i="27"/>
  <c r="O46" i="27" s="1"/>
  <c r="J46" i="27"/>
  <c r="M46" i="27" s="1"/>
  <c r="L45" i="27"/>
  <c r="O45" i="27" s="1"/>
  <c r="J45" i="27"/>
  <c r="M45" i="27" s="1"/>
  <c r="L44" i="27"/>
  <c r="O44" i="27" s="1"/>
  <c r="J44" i="27"/>
  <c r="M44" i="27" s="1"/>
  <c r="O43" i="27"/>
  <c r="L43" i="27"/>
  <c r="J43" i="27"/>
  <c r="M43" i="27" s="1"/>
  <c r="L42" i="27"/>
  <c r="O42" i="27" s="1"/>
  <c r="J42" i="27"/>
  <c r="M42" i="27" s="1"/>
  <c r="L41" i="27"/>
  <c r="O41" i="27" s="1"/>
  <c r="J41" i="27"/>
  <c r="M41" i="27" s="1"/>
  <c r="O40" i="27"/>
  <c r="L40" i="27"/>
  <c r="J40" i="27"/>
  <c r="M40" i="27" s="1"/>
  <c r="L39" i="27"/>
  <c r="O39" i="27" s="1"/>
  <c r="J39" i="27"/>
  <c r="M39" i="27" s="1"/>
  <c r="L38" i="27"/>
  <c r="O38" i="27" s="1"/>
  <c r="J38" i="27"/>
  <c r="M38" i="27" s="1"/>
  <c r="J37" i="27"/>
  <c r="M37" i="27" s="1"/>
  <c r="J36" i="27"/>
  <c r="M36" i="27" s="1"/>
  <c r="J35" i="27"/>
  <c r="M35" i="27" s="1"/>
  <c r="J34" i="27"/>
  <c r="M34" i="27" s="1"/>
  <c r="J33" i="27"/>
  <c r="M33" i="27" s="1"/>
  <c r="M32" i="27"/>
  <c r="J32" i="27"/>
  <c r="J31" i="27"/>
  <c r="M31" i="27" s="1"/>
  <c r="J30" i="27"/>
  <c r="M30" i="27" s="1"/>
  <c r="J29" i="27"/>
  <c r="M29" i="27" s="1"/>
  <c r="J28" i="27"/>
  <c r="M28" i="27" s="1"/>
  <c r="J27" i="27"/>
  <c r="M27" i="27" s="1"/>
  <c r="J26" i="27"/>
  <c r="M26" i="27" s="1"/>
  <c r="O25" i="27"/>
  <c r="L25" i="27"/>
  <c r="K25" i="27"/>
  <c r="N25" i="27" s="1"/>
  <c r="L24" i="27"/>
  <c r="O24" i="27" s="1"/>
  <c r="K24" i="27"/>
  <c r="N24" i="27" s="1"/>
  <c r="L23" i="27"/>
  <c r="O23" i="27" s="1"/>
  <c r="K23" i="27"/>
  <c r="N23" i="27" s="1"/>
  <c r="O22" i="27"/>
  <c r="L22" i="27"/>
  <c r="K22" i="27"/>
  <c r="N22" i="27" s="1"/>
  <c r="L21" i="27"/>
  <c r="O21" i="27" s="1"/>
  <c r="K21" i="27"/>
  <c r="N21" i="27" s="1"/>
  <c r="L20" i="27"/>
  <c r="O20" i="27" s="1"/>
  <c r="K20" i="27"/>
  <c r="N20" i="27" s="1"/>
  <c r="O19" i="27"/>
  <c r="L19" i="27"/>
  <c r="K19" i="27"/>
  <c r="N19" i="27" s="1"/>
  <c r="O18" i="27"/>
  <c r="L18" i="27"/>
  <c r="K18" i="27"/>
  <c r="N18" i="27" s="1"/>
  <c r="L17" i="27"/>
  <c r="O17" i="27" s="1"/>
  <c r="K17" i="27"/>
  <c r="N17" i="27" s="1"/>
  <c r="O16" i="27"/>
  <c r="L16" i="27"/>
  <c r="K16" i="27"/>
  <c r="N16" i="27" s="1"/>
  <c r="L15" i="27"/>
  <c r="O15" i="27" s="1"/>
  <c r="K15" i="27"/>
  <c r="N15" i="27" s="1"/>
  <c r="L14" i="27"/>
  <c r="O14" i="27" s="1"/>
  <c r="K14" i="27"/>
  <c r="N14" i="27" s="1"/>
  <c r="M13" i="27"/>
  <c r="J13" i="27"/>
  <c r="J12" i="27"/>
  <c r="M12" i="27" s="1"/>
  <c r="J11" i="27"/>
  <c r="M11" i="27" s="1"/>
  <c r="J10" i="27"/>
  <c r="M10" i="27" s="1"/>
  <c r="J9" i="27"/>
  <c r="M9" i="27" s="1"/>
  <c r="J8" i="27"/>
  <c r="M8" i="27" s="1"/>
  <c r="J7" i="27"/>
  <c r="M7" i="27" s="1"/>
  <c r="M6" i="27"/>
  <c r="J6" i="27"/>
  <c r="J5" i="27"/>
  <c r="M5" i="27" s="1"/>
  <c r="J4" i="27"/>
  <c r="M4" i="27" s="1"/>
  <c r="J3" i="27"/>
  <c r="M3" i="27" s="1"/>
  <c r="M2" i="27"/>
  <c r="J2" i="27"/>
  <c r="P11" i="5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F36" i="5" s="1"/>
  <c r="X288" i="16"/>
  <c r="W288" i="16"/>
  <c r="X287" i="16"/>
  <c r="W287" i="16"/>
  <c r="X286" i="16"/>
  <c r="W286" i="16"/>
  <c r="X285" i="16"/>
  <c r="W285" i="16"/>
  <c r="X284" i="16"/>
  <c r="W284" i="16"/>
  <c r="X283" i="16"/>
  <c r="W283" i="16"/>
  <c r="X282" i="16"/>
  <c r="W282" i="16"/>
  <c r="X281" i="16"/>
  <c r="W281" i="16"/>
  <c r="X280" i="16"/>
  <c r="W280" i="16"/>
  <c r="X279" i="16"/>
  <c r="W279" i="16"/>
  <c r="X278" i="16"/>
  <c r="W278" i="16"/>
  <c r="X277" i="16"/>
  <c r="W277" i="16"/>
  <c r="AD168" i="17"/>
  <c r="X168" i="17"/>
  <c r="W168" i="17"/>
  <c r="AD167" i="17"/>
  <c r="X167" i="17"/>
  <c r="W167" i="17"/>
  <c r="AD166" i="17"/>
  <c r="X166" i="17"/>
  <c r="W166" i="17"/>
  <c r="AD165" i="17"/>
  <c r="X165" i="17"/>
  <c r="W165" i="17"/>
  <c r="AD164" i="17"/>
  <c r="X164" i="17"/>
  <c r="W164" i="17"/>
  <c r="AD163" i="17"/>
  <c r="X163" i="17"/>
  <c r="W163" i="17"/>
  <c r="AD162" i="17"/>
  <c r="X162" i="17"/>
  <c r="W162" i="17"/>
  <c r="AD161" i="17"/>
  <c r="X161" i="17"/>
  <c r="W161" i="17"/>
  <c r="AD160" i="17"/>
  <c r="X160" i="17"/>
  <c r="W160" i="17"/>
  <c r="AD159" i="17"/>
  <c r="X159" i="17"/>
  <c r="W159" i="17"/>
  <c r="AD158" i="17"/>
  <c r="X158" i="17"/>
  <c r="W158" i="17"/>
  <c r="AD157" i="17"/>
  <c r="X157" i="17"/>
  <c r="W157" i="17"/>
  <c r="X109" i="16"/>
  <c r="W109" i="16"/>
  <c r="X108" i="16"/>
  <c r="W108" i="16"/>
  <c r="X107" i="16"/>
  <c r="W107" i="16"/>
  <c r="X106" i="16"/>
  <c r="W106" i="16"/>
  <c r="X105" i="16"/>
  <c r="W105" i="16"/>
  <c r="X104" i="16"/>
  <c r="W104" i="16"/>
  <c r="X103" i="16"/>
  <c r="W103" i="16"/>
  <c r="X102" i="16"/>
  <c r="W102" i="16"/>
  <c r="X101" i="16"/>
  <c r="W101" i="16"/>
  <c r="X100" i="16"/>
  <c r="W100" i="16"/>
  <c r="X99" i="16"/>
  <c r="W99" i="16"/>
  <c r="X98" i="16"/>
  <c r="W98" i="16"/>
  <c r="V97" i="16"/>
  <c r="V96" i="16"/>
  <c r="V95" i="16"/>
  <c r="V94" i="16"/>
  <c r="V93" i="16"/>
  <c r="V92" i="16"/>
  <c r="V91" i="16"/>
  <c r="V90" i="16"/>
  <c r="V89" i="16"/>
  <c r="V88" i="16"/>
  <c r="V87" i="16"/>
  <c r="V86" i="16"/>
  <c r="X85" i="16"/>
  <c r="W85" i="16"/>
  <c r="X84" i="16"/>
  <c r="W84" i="16"/>
  <c r="X83" i="16"/>
  <c r="W83" i="16"/>
  <c r="X82" i="16"/>
  <c r="W82" i="16"/>
  <c r="X81" i="16"/>
  <c r="W81" i="16"/>
  <c r="X80" i="16"/>
  <c r="W80" i="16"/>
  <c r="X79" i="16"/>
  <c r="W79" i="16"/>
  <c r="X78" i="16"/>
  <c r="W78" i="16"/>
  <c r="X77" i="16"/>
  <c r="W77" i="16"/>
  <c r="X76" i="16"/>
  <c r="W76" i="16"/>
  <c r="X75" i="16"/>
  <c r="W75" i="16"/>
  <c r="X74" i="16"/>
  <c r="W74" i="16"/>
  <c r="AD73" i="17"/>
  <c r="X73" i="17"/>
  <c r="W73" i="17"/>
  <c r="AD72" i="17"/>
  <c r="X72" i="17"/>
  <c r="W72" i="17"/>
  <c r="AC72" i="17" s="1"/>
  <c r="AD71" i="17"/>
  <c r="X71" i="17"/>
  <c r="W71" i="17"/>
  <c r="AD70" i="17"/>
  <c r="X70" i="17"/>
  <c r="W70" i="17"/>
  <c r="AD69" i="17"/>
  <c r="X69" i="17"/>
  <c r="W69" i="17"/>
  <c r="AD68" i="17"/>
  <c r="X68" i="17"/>
  <c r="W68" i="17"/>
  <c r="AC68" i="17" s="1"/>
  <c r="AD67" i="17"/>
  <c r="X67" i="17"/>
  <c r="W67" i="17"/>
  <c r="AD66" i="17"/>
  <c r="X66" i="17"/>
  <c r="W66" i="17"/>
  <c r="AD65" i="17"/>
  <c r="X65" i="17"/>
  <c r="W65" i="17"/>
  <c r="AD64" i="17"/>
  <c r="X64" i="17"/>
  <c r="W64" i="17"/>
  <c r="AC64" i="17" s="1"/>
  <c r="AD63" i="17"/>
  <c r="X63" i="17"/>
  <c r="W63" i="17"/>
  <c r="AD62" i="17"/>
  <c r="X62" i="17"/>
  <c r="W62" i="17"/>
  <c r="AE61" i="17"/>
  <c r="V61" i="17"/>
  <c r="AB61" i="17" s="1"/>
  <c r="AE60" i="17"/>
  <c r="V60" i="17"/>
  <c r="AB60" i="17" s="1"/>
  <c r="AE59" i="17"/>
  <c r="V59" i="17"/>
  <c r="AB59" i="17" s="1"/>
  <c r="AE58" i="17"/>
  <c r="V58" i="17"/>
  <c r="AB58" i="17" s="1"/>
  <c r="AE57" i="17"/>
  <c r="V57" i="17"/>
  <c r="AB57" i="17" s="1"/>
  <c r="AE56" i="17"/>
  <c r="V56" i="17"/>
  <c r="AB56" i="17" s="1"/>
  <c r="AE55" i="17"/>
  <c r="V55" i="17"/>
  <c r="AB55" i="17" s="1"/>
  <c r="AE54" i="17"/>
  <c r="V54" i="17"/>
  <c r="AB54" i="17" s="1"/>
  <c r="AE53" i="17"/>
  <c r="V53" i="17"/>
  <c r="AB53" i="17" s="1"/>
  <c r="AE52" i="17"/>
  <c r="V52" i="17"/>
  <c r="AB52" i="17" s="1"/>
  <c r="AE51" i="17"/>
  <c r="V51" i="17"/>
  <c r="AB51" i="17" s="1"/>
  <c r="AE50" i="17"/>
  <c r="V50" i="17"/>
  <c r="AB50" i="17" s="1"/>
  <c r="AD49" i="17"/>
  <c r="X49" i="17"/>
  <c r="W49" i="17"/>
  <c r="AD48" i="17"/>
  <c r="X48" i="17"/>
  <c r="W48" i="17"/>
  <c r="AD47" i="17"/>
  <c r="X47" i="17"/>
  <c r="W47" i="17"/>
  <c r="AD46" i="17"/>
  <c r="X46" i="17"/>
  <c r="W46" i="17"/>
  <c r="AD45" i="17"/>
  <c r="X45" i="17"/>
  <c r="W45" i="17"/>
  <c r="AD44" i="17"/>
  <c r="X44" i="17"/>
  <c r="W44" i="17"/>
  <c r="AD43" i="17"/>
  <c r="X43" i="17"/>
  <c r="W43" i="17"/>
  <c r="AD42" i="17"/>
  <c r="X42" i="17"/>
  <c r="W42" i="17"/>
  <c r="AD41" i="17"/>
  <c r="X41" i="17"/>
  <c r="W41" i="17"/>
  <c r="AD40" i="17"/>
  <c r="X40" i="17"/>
  <c r="W40" i="17"/>
  <c r="AD39" i="17"/>
  <c r="X39" i="17"/>
  <c r="W39" i="17"/>
  <c r="AD38" i="17"/>
  <c r="X38" i="17"/>
  <c r="W38" i="17"/>
  <c r="M40" i="5"/>
  <c r="M39" i="5"/>
  <c r="M38" i="5"/>
  <c r="AJ9" i="17"/>
  <c r="AI9" i="17"/>
  <c r="AJ7" i="17"/>
  <c r="AI7" i="17"/>
  <c r="AJ4" i="17"/>
  <c r="AI4" i="17"/>
  <c r="AJ3" i="17"/>
  <c r="AI3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V168" i="17"/>
  <c r="AB168" i="17" s="1"/>
  <c r="V167" i="17"/>
  <c r="AB167" i="17" s="1"/>
  <c r="V166" i="17"/>
  <c r="AB166" i="17" s="1"/>
  <c r="V165" i="17"/>
  <c r="AB165" i="17" s="1"/>
  <c r="V164" i="17"/>
  <c r="AB164" i="17" s="1"/>
  <c r="V163" i="17"/>
  <c r="AB163" i="17" s="1"/>
  <c r="V162" i="17"/>
  <c r="AB162" i="17" s="1"/>
  <c r="V161" i="17"/>
  <c r="AB161" i="17" s="1"/>
  <c r="V160" i="17"/>
  <c r="AB160" i="17" s="1"/>
  <c r="V159" i="17"/>
  <c r="AB159" i="17" s="1"/>
  <c r="V158" i="17"/>
  <c r="AB158" i="17" s="1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V73" i="17"/>
  <c r="AB73" i="17" s="1"/>
  <c r="V72" i="17"/>
  <c r="AB72" i="17" s="1"/>
  <c r="V71" i="17"/>
  <c r="AB71" i="17" s="1"/>
  <c r="V70" i="17"/>
  <c r="AB70" i="17" s="1"/>
  <c r="V69" i="17"/>
  <c r="AB69" i="17" s="1"/>
  <c r="V68" i="17"/>
  <c r="AB68" i="17" s="1"/>
  <c r="V67" i="17"/>
  <c r="AB67" i="17" s="1"/>
  <c r="V66" i="17"/>
  <c r="AB66" i="17" s="1"/>
  <c r="V65" i="17"/>
  <c r="AB65" i="17" s="1"/>
  <c r="V64" i="17"/>
  <c r="AB64" i="17" s="1"/>
  <c r="V63" i="17"/>
  <c r="AB63" i="17" s="1"/>
  <c r="V62" i="17"/>
  <c r="AB62" i="17" s="1"/>
  <c r="X61" i="17"/>
  <c r="W61" i="17"/>
  <c r="X60" i="17"/>
  <c r="W60" i="17"/>
  <c r="X59" i="17"/>
  <c r="W59" i="17"/>
  <c r="X58" i="17"/>
  <c r="W58" i="17"/>
  <c r="X57" i="17"/>
  <c r="W57" i="17"/>
  <c r="X56" i="17"/>
  <c r="W56" i="17"/>
  <c r="X55" i="17"/>
  <c r="W55" i="17"/>
  <c r="X54" i="17"/>
  <c r="W54" i="17"/>
  <c r="X53" i="17"/>
  <c r="W53" i="17"/>
  <c r="X52" i="17"/>
  <c r="W52" i="17"/>
  <c r="X51" i="17"/>
  <c r="W51" i="17"/>
  <c r="X50" i="17"/>
  <c r="W50" i="17"/>
  <c r="V49" i="17"/>
  <c r="AB49" i="17" s="1"/>
  <c r="V48" i="17"/>
  <c r="AB48" i="17" s="1"/>
  <c r="V47" i="17"/>
  <c r="AB47" i="17" s="1"/>
  <c r="V46" i="17"/>
  <c r="AB46" i="17" s="1"/>
  <c r="V45" i="17"/>
  <c r="AB45" i="17" s="1"/>
  <c r="V44" i="17"/>
  <c r="AB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300" i="16"/>
  <c r="AE299" i="16"/>
  <c r="AE298" i="16"/>
  <c r="AE297" i="16"/>
  <c r="AE296" i="16"/>
  <c r="AE295" i="16"/>
  <c r="AE294" i="16"/>
  <c r="AE293" i="16"/>
  <c r="AE292" i="16"/>
  <c r="AE291" i="16"/>
  <c r="AC291" i="16"/>
  <c r="AE290" i="16"/>
  <c r="AE289" i="16"/>
  <c r="AE288" i="16"/>
  <c r="AD288" i="16"/>
  <c r="AC288" i="16"/>
  <c r="AE287" i="16"/>
  <c r="AD287" i="16"/>
  <c r="AC287" i="16"/>
  <c r="AE286" i="16"/>
  <c r="AD286" i="16"/>
  <c r="AC286" i="16"/>
  <c r="AE285" i="16"/>
  <c r="AD285" i="16"/>
  <c r="AC285" i="16"/>
  <c r="AE284" i="16"/>
  <c r="AD284" i="16"/>
  <c r="AC284" i="16"/>
  <c r="AE283" i="16"/>
  <c r="AD283" i="16"/>
  <c r="AC283" i="16"/>
  <c r="AE282" i="16"/>
  <c r="AD282" i="16"/>
  <c r="AC282" i="16"/>
  <c r="AE281" i="16"/>
  <c r="AD281" i="16"/>
  <c r="AC281" i="16"/>
  <c r="AE280" i="16"/>
  <c r="AD280" i="16"/>
  <c r="AC280" i="16"/>
  <c r="AE279" i="16"/>
  <c r="AD279" i="16"/>
  <c r="AC279" i="16"/>
  <c r="AE278" i="16"/>
  <c r="AD278" i="16"/>
  <c r="AC278" i="16"/>
  <c r="AE277" i="16"/>
  <c r="AD277" i="16"/>
  <c r="AC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D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B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D109" i="16"/>
  <c r="AC109" i="16"/>
  <c r="AE108" i="16"/>
  <c r="AD108" i="16"/>
  <c r="AC108" i="16"/>
  <c r="AE107" i="16"/>
  <c r="AD107" i="16"/>
  <c r="AC107" i="16"/>
  <c r="AE106" i="16"/>
  <c r="AD106" i="16"/>
  <c r="AC106" i="16"/>
  <c r="AE105" i="16"/>
  <c r="AD105" i="16"/>
  <c r="AC105" i="16"/>
  <c r="AE104" i="16"/>
  <c r="AD104" i="16"/>
  <c r="AC104" i="16"/>
  <c r="AE103" i="16"/>
  <c r="AD103" i="16"/>
  <c r="AC103" i="16"/>
  <c r="AE102" i="16"/>
  <c r="AD102" i="16"/>
  <c r="AC102" i="16"/>
  <c r="AE101" i="16"/>
  <c r="AD101" i="16"/>
  <c r="AC101" i="16"/>
  <c r="AE100" i="16"/>
  <c r="AD100" i="16"/>
  <c r="AC100" i="16"/>
  <c r="AE99" i="16"/>
  <c r="AD99" i="16"/>
  <c r="AC99" i="16"/>
  <c r="AE98" i="16"/>
  <c r="AD98" i="16"/>
  <c r="AC98" i="16"/>
  <c r="AG97" i="16"/>
  <c r="AF97" i="16"/>
  <c r="AB97" i="16"/>
  <c r="AG96" i="16"/>
  <c r="AF96" i="16"/>
  <c r="AB96" i="16"/>
  <c r="AG95" i="16"/>
  <c r="AF95" i="16"/>
  <c r="AB95" i="16"/>
  <c r="AG94" i="16"/>
  <c r="AF94" i="16"/>
  <c r="AB94" i="16"/>
  <c r="AG93" i="16"/>
  <c r="AF93" i="16"/>
  <c r="AB93" i="16"/>
  <c r="AG92" i="16"/>
  <c r="AF92" i="16"/>
  <c r="AB92" i="16"/>
  <c r="AG91" i="16"/>
  <c r="AF91" i="16"/>
  <c r="AB91" i="16"/>
  <c r="AG90" i="16"/>
  <c r="AF90" i="16"/>
  <c r="AB90" i="16"/>
  <c r="AG89" i="16"/>
  <c r="AF89" i="16"/>
  <c r="AB89" i="16"/>
  <c r="AG88" i="16"/>
  <c r="AF88" i="16"/>
  <c r="AB88" i="16"/>
  <c r="AG87" i="16"/>
  <c r="AF87" i="16"/>
  <c r="AB87" i="16"/>
  <c r="AG86" i="16"/>
  <c r="AF86" i="16"/>
  <c r="AB86" i="16"/>
  <c r="AE85" i="16"/>
  <c r="AD85" i="16"/>
  <c r="AC85" i="16"/>
  <c r="AE84" i="16"/>
  <c r="AD84" i="16"/>
  <c r="AC84" i="16"/>
  <c r="AE83" i="16"/>
  <c r="AD83" i="16"/>
  <c r="AC83" i="16"/>
  <c r="AE82" i="16"/>
  <c r="AD82" i="16"/>
  <c r="AC82" i="16"/>
  <c r="AE81" i="16"/>
  <c r="AD81" i="16"/>
  <c r="AC81" i="16"/>
  <c r="AE80" i="16"/>
  <c r="AD80" i="16"/>
  <c r="AC80" i="16"/>
  <c r="AE79" i="16"/>
  <c r="AD79" i="16"/>
  <c r="AC79" i="16"/>
  <c r="AE78" i="16"/>
  <c r="AD78" i="16"/>
  <c r="AC78" i="16"/>
  <c r="AE77" i="16"/>
  <c r="AD77" i="16"/>
  <c r="AC77" i="16"/>
  <c r="AE76" i="16"/>
  <c r="AD76" i="16"/>
  <c r="AC76" i="16"/>
  <c r="AE75" i="16"/>
  <c r="AD75" i="16"/>
  <c r="AC75" i="16"/>
  <c r="AE74" i="16"/>
  <c r="AD74" i="16"/>
  <c r="AC74" i="16"/>
  <c r="AG73" i="16"/>
  <c r="AE73" i="16"/>
  <c r="AG72" i="16"/>
  <c r="AE72" i="16"/>
  <c r="AG71" i="16"/>
  <c r="AE71" i="16"/>
  <c r="AG70" i="16"/>
  <c r="AE70" i="16"/>
  <c r="AG69" i="16"/>
  <c r="AE69" i="16"/>
  <c r="AG68" i="16"/>
  <c r="AE68" i="16"/>
  <c r="AG67" i="16"/>
  <c r="AE67" i="16"/>
  <c r="AG66" i="16"/>
  <c r="AE66" i="16"/>
  <c r="AG65" i="16"/>
  <c r="AE65" i="16"/>
  <c r="AG64" i="16"/>
  <c r="AE64" i="16"/>
  <c r="AG63" i="16"/>
  <c r="AE63" i="16"/>
  <c r="AG62" i="16"/>
  <c r="AE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E49" i="16"/>
  <c r="AG48" i="16"/>
  <c r="AE48" i="16"/>
  <c r="AG47" i="16"/>
  <c r="AE47" i="16"/>
  <c r="AG46" i="16"/>
  <c r="AE46" i="16"/>
  <c r="AG45" i="16"/>
  <c r="AE45" i="16"/>
  <c r="AG44" i="16"/>
  <c r="AE44" i="16"/>
  <c r="AG43" i="16"/>
  <c r="AE43" i="16"/>
  <c r="AG42" i="16"/>
  <c r="AE42" i="16"/>
  <c r="AG41" i="16"/>
  <c r="AE41" i="16"/>
  <c r="AG40" i="16"/>
  <c r="AE40" i="16"/>
  <c r="AG39" i="16"/>
  <c r="AE39" i="16"/>
  <c r="AG38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V288" i="16"/>
  <c r="AB288" i="16" s="1"/>
  <c r="V287" i="16"/>
  <c r="AB287" i="16" s="1"/>
  <c r="V286" i="16"/>
  <c r="AB286" i="16" s="1"/>
  <c r="V285" i="16"/>
  <c r="AB285" i="16" s="1"/>
  <c r="V284" i="16"/>
  <c r="AB284" i="16" s="1"/>
  <c r="V283" i="16"/>
  <c r="AB283" i="16" s="1"/>
  <c r="V282" i="16"/>
  <c r="AB282" i="16" s="1"/>
  <c r="V281" i="16"/>
  <c r="AB281" i="16" s="1"/>
  <c r="V280" i="16"/>
  <c r="AB280" i="16" s="1"/>
  <c r="V279" i="16"/>
  <c r="AB279" i="16" s="1"/>
  <c r="V278" i="16"/>
  <c r="AB278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V109" i="16"/>
  <c r="AB109" i="16" s="1"/>
  <c r="V108" i="16"/>
  <c r="AB108" i="16" s="1"/>
  <c r="V107" i="16"/>
  <c r="AB107" i="16" s="1"/>
  <c r="V106" i="16"/>
  <c r="AB106" i="16" s="1"/>
  <c r="V105" i="16"/>
  <c r="AB105" i="16" s="1"/>
  <c r="V104" i="16"/>
  <c r="AB104" i="16" s="1"/>
  <c r="V103" i="16"/>
  <c r="AB103" i="16" s="1"/>
  <c r="V102" i="16"/>
  <c r="AB102" i="16" s="1"/>
  <c r="V101" i="16"/>
  <c r="AB101" i="16" s="1"/>
  <c r="V100" i="16"/>
  <c r="AB100" i="16" s="1"/>
  <c r="V99" i="16"/>
  <c r="AB99" i="16" s="1"/>
  <c r="V98" i="16"/>
  <c r="AB98" i="16" s="1"/>
  <c r="X97" i="16"/>
  <c r="AD97" i="16" s="1"/>
  <c r="W97" i="16"/>
  <c r="AC97" i="16" s="1"/>
  <c r="X96" i="16"/>
  <c r="AD96" i="16" s="1"/>
  <c r="W96" i="16"/>
  <c r="AC96" i="16" s="1"/>
  <c r="X95" i="16"/>
  <c r="AD95" i="16" s="1"/>
  <c r="W95" i="16"/>
  <c r="AC95" i="16" s="1"/>
  <c r="X94" i="16"/>
  <c r="AD94" i="16" s="1"/>
  <c r="W94" i="16"/>
  <c r="AC94" i="16" s="1"/>
  <c r="X93" i="16"/>
  <c r="AD93" i="16" s="1"/>
  <c r="W93" i="16"/>
  <c r="AC93" i="16" s="1"/>
  <c r="X92" i="16"/>
  <c r="AD92" i="16" s="1"/>
  <c r="W92" i="16"/>
  <c r="AC92" i="16" s="1"/>
  <c r="X91" i="16"/>
  <c r="AD91" i="16" s="1"/>
  <c r="W91" i="16"/>
  <c r="AC91" i="16" s="1"/>
  <c r="X90" i="16"/>
  <c r="AD90" i="16" s="1"/>
  <c r="W90" i="16"/>
  <c r="AC90" i="16" s="1"/>
  <c r="X89" i="16"/>
  <c r="AD89" i="16" s="1"/>
  <c r="W89" i="16"/>
  <c r="AC89" i="16" s="1"/>
  <c r="X88" i="16"/>
  <c r="AD88" i="16" s="1"/>
  <c r="W88" i="16"/>
  <c r="AC88" i="16" s="1"/>
  <c r="X87" i="16"/>
  <c r="AD87" i="16" s="1"/>
  <c r="W87" i="16"/>
  <c r="AC87" i="16" s="1"/>
  <c r="X86" i="16"/>
  <c r="AD86" i="16" s="1"/>
  <c r="W86" i="16"/>
  <c r="AC86" i="16" s="1"/>
  <c r="V85" i="16"/>
  <c r="AB85" i="16" s="1"/>
  <c r="V84" i="16"/>
  <c r="AB84" i="16" s="1"/>
  <c r="V83" i="16"/>
  <c r="AB83" i="16" s="1"/>
  <c r="V82" i="16"/>
  <c r="AB82" i="16" s="1"/>
  <c r="V81" i="16"/>
  <c r="AB81" i="16" s="1"/>
  <c r="V80" i="16"/>
  <c r="AB80" i="16" s="1"/>
  <c r="V79" i="16"/>
  <c r="AB79" i="16" s="1"/>
  <c r="V78" i="16"/>
  <c r="AB78" i="16" s="1"/>
  <c r="V77" i="16"/>
  <c r="AB77" i="16" s="1"/>
  <c r="V76" i="16"/>
  <c r="AB76" i="16" s="1"/>
  <c r="V75" i="16"/>
  <c r="AB75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AA50" i="7" s="1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AA48" i="7" s="1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AA46" i="7" s="1"/>
  <c r="Z46" i="6"/>
  <c r="Y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Z29" i="7" s="1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Z19" i="7" s="1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Z11" i="7" s="1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Z7" i="7" s="1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7" i="13"/>
  <c r="V47" i="13"/>
  <c r="T47" i="13"/>
  <c r="P47" i="13"/>
  <c r="O47" i="13"/>
  <c r="N47" i="13"/>
  <c r="M47" i="13"/>
  <c r="V46" i="13"/>
  <c r="U46" i="13"/>
  <c r="T46" i="13"/>
  <c r="P46" i="13"/>
  <c r="O46" i="13"/>
  <c r="N46" i="13"/>
  <c r="M46" i="13"/>
  <c r="X45" i="13"/>
  <c r="V45" i="13"/>
  <c r="U45" i="13"/>
  <c r="T45" i="13"/>
  <c r="P45" i="13"/>
  <c r="O45" i="13"/>
  <c r="N45" i="13"/>
  <c r="M45" i="13"/>
  <c r="X47" i="12"/>
  <c r="V47" i="12"/>
  <c r="T47" i="12"/>
  <c r="P47" i="12"/>
  <c r="O47" i="12"/>
  <c r="N47" i="12"/>
  <c r="M47" i="12"/>
  <c r="V46" i="12"/>
  <c r="U46" i="12"/>
  <c r="T46" i="12"/>
  <c r="P46" i="12"/>
  <c r="O46" i="12"/>
  <c r="N46" i="12"/>
  <c r="M46" i="12"/>
  <c r="X45" i="12"/>
  <c r="V45" i="12"/>
  <c r="V49" i="12" s="1"/>
  <c r="U45" i="12"/>
  <c r="U49" i="12" s="1"/>
  <c r="T45" i="12"/>
  <c r="T49" i="12" s="1"/>
  <c r="P45" i="12"/>
  <c r="P49" i="12" s="1"/>
  <c r="O45" i="12"/>
  <c r="O49" i="12" s="1"/>
  <c r="N45" i="12"/>
  <c r="N49" i="12" s="1"/>
  <c r="M45" i="12"/>
  <c r="M49" i="12" s="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7" i="11"/>
  <c r="V47" i="11"/>
  <c r="T47" i="11"/>
  <c r="P47" i="11"/>
  <c r="O47" i="11"/>
  <c r="N47" i="11"/>
  <c r="M47" i="11"/>
  <c r="V46" i="11"/>
  <c r="U46" i="11"/>
  <c r="T46" i="11"/>
  <c r="P46" i="11"/>
  <c r="O46" i="11"/>
  <c r="N46" i="11"/>
  <c r="M46" i="11"/>
  <c r="X45" i="11"/>
  <c r="V45" i="11"/>
  <c r="V49" i="11" s="1"/>
  <c r="U45" i="11"/>
  <c r="U49" i="11" s="1"/>
  <c r="T45" i="11"/>
  <c r="T49" i="11" s="1"/>
  <c r="P45" i="11"/>
  <c r="P49" i="11" s="1"/>
  <c r="O45" i="11"/>
  <c r="O49" i="11" s="1"/>
  <c r="N45" i="11"/>
  <c r="N49" i="11" s="1"/>
  <c r="M45" i="11"/>
  <c r="M49" i="11" s="1"/>
  <c r="X47" i="10"/>
  <c r="X45" i="10"/>
  <c r="V47" i="10"/>
  <c r="V46" i="10"/>
  <c r="V45" i="10"/>
  <c r="U46" i="10"/>
  <c r="U45" i="10"/>
  <c r="T47" i="10"/>
  <c r="T46" i="10"/>
  <c r="T45" i="10"/>
  <c r="R48" i="10"/>
  <c r="P47" i="10"/>
  <c r="P46" i="10"/>
  <c r="P45" i="10"/>
  <c r="O47" i="10"/>
  <c r="O46" i="10"/>
  <c r="O45" i="10"/>
  <c r="N47" i="10"/>
  <c r="N46" i="10"/>
  <c r="N45" i="10"/>
  <c r="M47" i="10"/>
  <c r="M46" i="10"/>
  <c r="M45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5" i="10"/>
  <c r="Z14" i="10"/>
  <c r="Z13" i="10"/>
  <c r="Z12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5" i="10"/>
  <c r="V14" i="10"/>
  <c r="V13" i="10"/>
  <c r="V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5" i="10"/>
  <c r="R14" i="10"/>
  <c r="R13" i="10"/>
  <c r="R12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5" i="10"/>
  <c r="P14" i="10"/>
  <c r="P13" i="10"/>
  <c r="P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Z50" i="7"/>
  <c r="AG49" i="7"/>
  <c r="Z49" i="7"/>
  <c r="AG48" i="7"/>
  <c r="Z48" i="7"/>
  <c r="AG47" i="7"/>
  <c r="Z47" i="7"/>
  <c r="AG46" i="7"/>
  <c r="Z46" i="7"/>
  <c r="AG45" i="7"/>
  <c r="Z45" i="7"/>
  <c r="AG44" i="7"/>
  <c r="AA44" i="7"/>
  <c r="Z44" i="7"/>
  <c r="AG43" i="7"/>
  <c r="AA43" i="7"/>
  <c r="Z43" i="7"/>
  <c r="AG42" i="7"/>
  <c r="AA42" i="7"/>
  <c r="Z42" i="7"/>
  <c r="AG41" i="7"/>
  <c r="AA41" i="7"/>
  <c r="Z41" i="7"/>
  <c r="AG40" i="7"/>
  <c r="AA40" i="7"/>
  <c r="Z40" i="7"/>
  <c r="AG39" i="7"/>
  <c r="AA39" i="7"/>
  <c r="Z39" i="7"/>
  <c r="AG38" i="7"/>
  <c r="AA38" i="7"/>
  <c r="Z38" i="7"/>
  <c r="AG37" i="7"/>
  <c r="Z37" i="7"/>
  <c r="AG36" i="7"/>
  <c r="AA36" i="7"/>
  <c r="Z36" i="7"/>
  <c r="AG35" i="7"/>
  <c r="AA35" i="7"/>
  <c r="Z35" i="7"/>
  <c r="AG34" i="7"/>
  <c r="AA34" i="7"/>
  <c r="Z34" i="7"/>
  <c r="AG33" i="7"/>
  <c r="AA33" i="7"/>
  <c r="Z33" i="7"/>
  <c r="AG32" i="7"/>
  <c r="AA32" i="7"/>
  <c r="Z32" i="7"/>
  <c r="AG31" i="7"/>
  <c r="AA31" i="7"/>
  <c r="Z31" i="7"/>
  <c r="AG30" i="7"/>
  <c r="AA30" i="7"/>
  <c r="Z30" i="7"/>
  <c r="AG29" i="7"/>
  <c r="AG28" i="7"/>
  <c r="AA28" i="7"/>
  <c r="Z28" i="7"/>
  <c r="AG27" i="7"/>
  <c r="AA27" i="7"/>
  <c r="Z27" i="7"/>
  <c r="AG26" i="7"/>
  <c r="AA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Z21" i="7"/>
  <c r="AG20" i="7"/>
  <c r="AA20" i="7"/>
  <c r="Z20" i="7"/>
  <c r="AG19" i="7"/>
  <c r="AA19" i="7"/>
  <c r="AG18" i="7"/>
  <c r="AA18" i="7"/>
  <c r="Z18" i="7"/>
  <c r="AG17" i="7"/>
  <c r="AA17" i="7"/>
  <c r="Z17" i="7"/>
  <c r="AG16" i="7"/>
  <c r="AA16" i="7"/>
  <c r="Z16" i="7"/>
  <c r="AG15" i="7"/>
  <c r="AA15" i="7"/>
  <c r="Z15" i="7"/>
  <c r="AG14" i="7"/>
  <c r="AA14" i="7"/>
  <c r="Z14" i="7"/>
  <c r="AG13" i="7"/>
  <c r="Z13" i="7"/>
  <c r="AG12" i="7"/>
  <c r="AA12" i="7"/>
  <c r="Z12" i="7"/>
  <c r="AG11" i="7"/>
  <c r="AA11" i="7"/>
  <c r="AG10" i="7"/>
  <c r="AA10" i="7"/>
  <c r="Z10" i="7"/>
  <c r="AG9" i="7"/>
  <c r="Z9" i="7"/>
  <c r="AG8" i="7"/>
  <c r="AA8" i="7"/>
  <c r="Z8" i="7"/>
  <c r="AG7" i="7"/>
  <c r="AA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F54" i="7" s="1"/>
  <c r="AE58" i="6"/>
  <c r="AE56" i="6"/>
  <c r="AC58" i="6"/>
  <c r="AC57" i="6"/>
  <c r="AC56" i="6"/>
  <c r="AA58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P54" i="7" s="1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7"/>
  <c r="AJ55" i="7"/>
  <c r="AJ56" i="6"/>
  <c r="AI56" i="6"/>
  <c r="AH55" i="7"/>
  <c r="AH56" i="6"/>
  <c r="W56" i="6"/>
  <c r="Z56" i="9"/>
  <c r="F45" i="5"/>
  <c r="D45" i="5"/>
  <c r="F43" i="5"/>
  <c r="D43" i="5"/>
  <c r="F41" i="5"/>
  <c r="E41" i="5"/>
  <c r="D41" i="5"/>
  <c r="D28" i="5"/>
  <c r="AL56" i="6" s="1"/>
  <c r="F23" i="5"/>
  <c r="AG56" i="7" s="1"/>
  <c r="D23" i="5"/>
  <c r="AG56" i="6" s="1"/>
  <c r="F20" i="5"/>
  <c r="E20" i="5"/>
  <c r="AD55" i="9" s="1"/>
  <c r="D20" i="5"/>
  <c r="AD56" i="6" s="1"/>
  <c r="E18" i="5"/>
  <c r="AB57" i="6" s="1"/>
  <c r="D18" i="5"/>
  <c r="AB56" i="6" s="1"/>
  <c r="T39" i="4"/>
  <c r="S39" i="4"/>
  <c r="R39" i="4"/>
  <c r="Q39" i="4"/>
  <c r="P39" i="4"/>
  <c r="O39" i="4"/>
  <c r="N39" i="4"/>
  <c r="M39" i="4"/>
  <c r="L39" i="4"/>
  <c r="K39" i="4"/>
  <c r="J39" i="4"/>
  <c r="I39" i="4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U36" i="3" s="1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U28" i="3" s="1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C39" i="17" l="1"/>
  <c r="AC47" i="17"/>
  <c r="AC162" i="17"/>
  <c r="U2" i="3"/>
  <c r="U6" i="3"/>
  <c r="I9" i="29" s="1"/>
  <c r="U8" i="3"/>
  <c r="U12" i="3"/>
  <c r="I15" i="7" s="1"/>
  <c r="U14" i="3"/>
  <c r="U16" i="3"/>
  <c r="I19" i="8" s="1"/>
  <c r="U18" i="3"/>
  <c r="U20" i="3"/>
  <c r="U22" i="3"/>
  <c r="U24" i="3"/>
  <c r="U26" i="3"/>
  <c r="I29" i="9" s="1"/>
  <c r="U30" i="3"/>
  <c r="U32" i="3"/>
  <c r="U34" i="3"/>
  <c r="U38" i="3"/>
  <c r="U40" i="3"/>
  <c r="U42" i="3"/>
  <c r="U44" i="3"/>
  <c r="U3" i="4"/>
  <c r="I6" i="10" s="1"/>
  <c r="U5" i="4"/>
  <c r="U7" i="4"/>
  <c r="U9" i="4"/>
  <c r="U11" i="4"/>
  <c r="U13" i="4"/>
  <c r="I16" i="30" s="1"/>
  <c r="U15" i="4"/>
  <c r="U17" i="4"/>
  <c r="U19" i="4"/>
  <c r="I22" i="13" s="1"/>
  <c r="U21" i="4"/>
  <c r="U23" i="4"/>
  <c r="U27" i="4"/>
  <c r="U29" i="4"/>
  <c r="U31" i="4"/>
  <c r="U35" i="4"/>
  <c r="U37" i="4"/>
  <c r="U39" i="4"/>
  <c r="AC50" i="17"/>
  <c r="AC58" i="17"/>
  <c r="AC97" i="17"/>
  <c r="AC62" i="17"/>
  <c r="AC70" i="17"/>
  <c r="AF6" i="27"/>
  <c r="U10" i="3"/>
  <c r="AC5" i="17"/>
  <c r="AC13" i="17"/>
  <c r="AC21" i="17"/>
  <c r="AC29" i="17"/>
  <c r="AC37" i="17"/>
  <c r="AC51" i="17"/>
  <c r="AC55" i="17"/>
  <c r="AC59" i="17"/>
  <c r="AC81" i="17"/>
  <c r="AC89" i="17"/>
  <c r="AC45" i="17"/>
  <c r="AC160" i="17"/>
  <c r="AC168" i="17"/>
  <c r="Y6" i="27"/>
  <c r="AG6" i="27" s="1"/>
  <c r="AD11" i="27"/>
  <c r="AI3" i="27"/>
  <c r="X4" i="27"/>
  <c r="AF4" i="27" s="1"/>
  <c r="AC43" i="17"/>
  <c r="AC158" i="17"/>
  <c r="AC166" i="17"/>
  <c r="R10" i="27"/>
  <c r="Y4" i="27"/>
  <c r="X8" i="27"/>
  <c r="U41" i="3"/>
  <c r="U45" i="3"/>
  <c r="U47" i="3"/>
  <c r="U2" i="4"/>
  <c r="U4" i="4"/>
  <c r="U6" i="4"/>
  <c r="I9" i="13" s="1"/>
  <c r="U8" i="4"/>
  <c r="U10" i="4"/>
  <c r="U12" i="4"/>
  <c r="U14" i="4"/>
  <c r="U16" i="4"/>
  <c r="U18" i="4"/>
  <c r="U20" i="4"/>
  <c r="U22" i="4"/>
  <c r="I25" i="30" s="1"/>
  <c r="U24" i="4"/>
  <c r="U25" i="4"/>
  <c r="U26" i="4"/>
  <c r="U28" i="4"/>
  <c r="U30" i="4"/>
  <c r="U32" i="4"/>
  <c r="U33" i="4"/>
  <c r="U34" i="4"/>
  <c r="I37" i="30" s="1"/>
  <c r="U36" i="4"/>
  <c r="U38" i="4"/>
  <c r="AD9" i="27"/>
  <c r="AD10" i="27"/>
  <c r="AC66" i="17"/>
  <c r="E36" i="5"/>
  <c r="U3" i="3"/>
  <c r="U11" i="3"/>
  <c r="P13" i="5" s="1"/>
  <c r="P16" i="5" s="1"/>
  <c r="U27" i="3"/>
  <c r="U33" i="3"/>
  <c r="U35" i="3"/>
  <c r="U43" i="3"/>
  <c r="AC9" i="17"/>
  <c r="AC17" i="17"/>
  <c r="AC25" i="17"/>
  <c r="AC33" i="17"/>
  <c r="AC53" i="17"/>
  <c r="AC57" i="17"/>
  <c r="AC61" i="17"/>
  <c r="AC77" i="17"/>
  <c r="AC85" i="17"/>
  <c r="AC93" i="17"/>
  <c r="AC101" i="17"/>
  <c r="AC109" i="17"/>
  <c r="AC117" i="17"/>
  <c r="AC125" i="17"/>
  <c r="AC41" i="17"/>
  <c r="AC49" i="17"/>
  <c r="AC164" i="17"/>
  <c r="I9" i="7"/>
  <c r="I9" i="14"/>
  <c r="I9" i="6"/>
  <c r="I9" i="9"/>
  <c r="I9" i="8"/>
  <c r="I15" i="29"/>
  <c r="I15" i="8"/>
  <c r="I15" i="6"/>
  <c r="I15" i="9"/>
  <c r="I15" i="14"/>
  <c r="I19" i="29"/>
  <c r="BB71" i="29" s="1"/>
  <c r="I19" i="9"/>
  <c r="I19" i="6"/>
  <c r="I19" i="14"/>
  <c r="I19" i="7"/>
  <c r="I23" i="29"/>
  <c r="AT75" i="29" s="1"/>
  <c r="I23" i="7"/>
  <c r="I23" i="8"/>
  <c r="I23" i="14"/>
  <c r="I23" i="9"/>
  <c r="I23" i="6"/>
  <c r="I27" i="29"/>
  <c r="I27" i="14"/>
  <c r="I27" i="7"/>
  <c r="I27" i="9"/>
  <c r="I27" i="6"/>
  <c r="I27" i="8"/>
  <c r="I29" i="29"/>
  <c r="I29" i="14"/>
  <c r="I29" i="6"/>
  <c r="I29" i="8"/>
  <c r="I29" i="7"/>
  <c r="I37" i="29"/>
  <c r="I37" i="14"/>
  <c r="I37" i="9"/>
  <c r="I37" i="6"/>
  <c r="I37" i="8"/>
  <c r="I37" i="7"/>
  <c r="I43" i="29"/>
  <c r="I43" i="14"/>
  <c r="I43" i="7"/>
  <c r="I43" i="9"/>
  <c r="I43" i="6"/>
  <c r="I43" i="8"/>
  <c r="I47" i="29"/>
  <c r="I47" i="14"/>
  <c r="I47" i="8"/>
  <c r="I47" i="7"/>
  <c r="I47" i="9"/>
  <c r="I47" i="6"/>
  <c r="I49" i="29"/>
  <c r="I49" i="14"/>
  <c r="I49" i="9"/>
  <c r="I49" i="7"/>
  <c r="I49" i="6"/>
  <c r="I49" i="8"/>
  <c r="I6" i="30"/>
  <c r="I6" i="13"/>
  <c r="I6" i="12"/>
  <c r="I6" i="11"/>
  <c r="I10" i="30"/>
  <c r="I10" i="12"/>
  <c r="I10" i="13"/>
  <c r="I10" i="11"/>
  <c r="I10" i="10"/>
  <c r="I12" i="30"/>
  <c r="I12" i="11"/>
  <c r="I12" i="13"/>
  <c r="I12" i="10"/>
  <c r="I12" i="12"/>
  <c r="I14" i="30"/>
  <c r="I14" i="13"/>
  <c r="I14" i="12"/>
  <c r="I14" i="11"/>
  <c r="I14" i="10"/>
  <c r="I16" i="13"/>
  <c r="I16" i="12"/>
  <c r="I16" i="11"/>
  <c r="I16" i="10"/>
  <c r="I18" i="30"/>
  <c r="I18" i="12"/>
  <c r="I18" i="13"/>
  <c r="I18" i="11"/>
  <c r="I18" i="10"/>
  <c r="I20" i="30"/>
  <c r="I20" i="11"/>
  <c r="I20" i="10"/>
  <c r="I20" i="13"/>
  <c r="I20" i="12"/>
  <c r="I22" i="30"/>
  <c r="AA65" i="30" s="1"/>
  <c r="I22" i="12"/>
  <c r="I22" i="11"/>
  <c r="I22" i="10"/>
  <c r="I24" i="30"/>
  <c r="I24" i="13"/>
  <c r="I24" i="12"/>
  <c r="I24" i="11"/>
  <c r="I24" i="10"/>
  <c r="I26" i="30"/>
  <c r="I26" i="12"/>
  <c r="I26" i="13"/>
  <c r="I26" i="11"/>
  <c r="I26" i="10"/>
  <c r="I30" i="30"/>
  <c r="I30" i="13"/>
  <c r="I30" i="12"/>
  <c r="I30" i="11"/>
  <c r="I30" i="10"/>
  <c r="I32" i="30"/>
  <c r="I32" i="11"/>
  <c r="I32" i="13"/>
  <c r="I32" i="12"/>
  <c r="I32" i="10"/>
  <c r="I34" i="30"/>
  <c r="AE77" i="30" s="1"/>
  <c r="I34" i="12"/>
  <c r="I34" i="13"/>
  <c r="I34" i="11"/>
  <c r="I34" i="10"/>
  <c r="I38" i="30"/>
  <c r="I38" i="13"/>
  <c r="I38" i="12"/>
  <c r="I38" i="10"/>
  <c r="I38" i="11"/>
  <c r="I40" i="30"/>
  <c r="I40" i="11"/>
  <c r="I40" i="12"/>
  <c r="I40" i="13"/>
  <c r="I40" i="10"/>
  <c r="I42" i="30"/>
  <c r="I42" i="12"/>
  <c r="I42" i="13"/>
  <c r="I42" i="10"/>
  <c r="I42" i="11"/>
  <c r="I5" i="29"/>
  <c r="P12" i="5"/>
  <c r="I5" i="9"/>
  <c r="I5" i="8"/>
  <c r="I5" i="7"/>
  <c r="I5" i="14"/>
  <c r="I5" i="6"/>
  <c r="I7" i="29"/>
  <c r="I7" i="8"/>
  <c r="I7" i="7"/>
  <c r="I7" i="14"/>
  <c r="I7" i="6"/>
  <c r="I7" i="9"/>
  <c r="I11" i="29"/>
  <c r="I11" i="6"/>
  <c r="I11" i="14"/>
  <c r="I11" i="9"/>
  <c r="I11" i="8"/>
  <c r="I11" i="7"/>
  <c r="I17" i="29"/>
  <c r="I17" i="7"/>
  <c r="I17" i="9"/>
  <c r="I17" i="14"/>
  <c r="I17" i="6"/>
  <c r="I17" i="8"/>
  <c r="I21" i="29"/>
  <c r="AW73" i="29" s="1"/>
  <c r="I21" i="9"/>
  <c r="I21" i="6"/>
  <c r="I21" i="14"/>
  <c r="I21" i="8"/>
  <c r="I21" i="7"/>
  <c r="I25" i="29"/>
  <c r="I25" i="14"/>
  <c r="I25" i="9"/>
  <c r="I25" i="7"/>
  <c r="I25" i="6"/>
  <c r="I25" i="8"/>
  <c r="I33" i="29"/>
  <c r="I33" i="14"/>
  <c r="I33" i="9"/>
  <c r="I33" i="7"/>
  <c r="I33" i="6"/>
  <c r="I33" i="8"/>
  <c r="I35" i="29"/>
  <c r="I35" i="14"/>
  <c r="I35" i="7"/>
  <c r="I35" i="9"/>
  <c r="I35" i="6"/>
  <c r="I35" i="8"/>
  <c r="I41" i="29"/>
  <c r="I41" i="14"/>
  <c r="I41" i="9"/>
  <c r="I41" i="7"/>
  <c r="I41" i="6"/>
  <c r="I41" i="8"/>
  <c r="I45" i="29"/>
  <c r="I45" i="14"/>
  <c r="I45" i="9"/>
  <c r="I45" i="6"/>
  <c r="I45" i="8"/>
  <c r="I45" i="7"/>
  <c r="I51" i="29"/>
  <c r="I51" i="14"/>
  <c r="I51" i="7"/>
  <c r="I51" i="9"/>
  <c r="I51" i="6"/>
  <c r="I51" i="8"/>
  <c r="I8" i="30"/>
  <c r="I8" i="12"/>
  <c r="I8" i="13"/>
  <c r="I8" i="11"/>
  <c r="I8" i="10"/>
  <c r="I13" i="29"/>
  <c r="AW65" i="29" s="1"/>
  <c r="I13" i="14"/>
  <c r="I13" i="9"/>
  <c r="I13" i="8"/>
  <c r="I13" i="7"/>
  <c r="I13" i="6"/>
  <c r="I10" i="29"/>
  <c r="I10" i="14"/>
  <c r="I10" i="6"/>
  <c r="I10" i="9"/>
  <c r="I10" i="8"/>
  <c r="I10" i="7"/>
  <c r="I16" i="29"/>
  <c r="AP68" i="29" s="1"/>
  <c r="I16" i="8"/>
  <c r="I16" i="7"/>
  <c r="I16" i="6"/>
  <c r="I16" i="9"/>
  <c r="I16" i="14"/>
  <c r="I20" i="29"/>
  <c r="I20" i="9"/>
  <c r="I20" i="6"/>
  <c r="I20" i="14"/>
  <c r="I20" i="8"/>
  <c r="I20" i="7"/>
  <c r="I24" i="29"/>
  <c r="I24" i="8"/>
  <c r="I24" i="9"/>
  <c r="I24" i="14"/>
  <c r="I24" i="7"/>
  <c r="I24" i="6"/>
  <c r="I28" i="29"/>
  <c r="I28" i="14"/>
  <c r="I28" i="9"/>
  <c r="I28" i="6"/>
  <c r="I28" i="8"/>
  <c r="I28" i="7"/>
  <c r="I32" i="29"/>
  <c r="I32" i="14"/>
  <c r="I32" i="8"/>
  <c r="I32" i="9"/>
  <c r="I32" i="6"/>
  <c r="I32" i="7"/>
  <c r="I39" i="29"/>
  <c r="I39" i="14"/>
  <c r="I39" i="8"/>
  <c r="I39" i="7"/>
  <c r="I39" i="9"/>
  <c r="I39" i="6"/>
  <c r="I42" i="29"/>
  <c r="I42" i="14"/>
  <c r="I42" i="9"/>
  <c r="I42" i="7"/>
  <c r="I42" i="6"/>
  <c r="I42" i="8"/>
  <c r="I48" i="29"/>
  <c r="I48" i="14"/>
  <c r="I48" i="8"/>
  <c r="I48" i="9"/>
  <c r="I48" i="6"/>
  <c r="I48" i="7"/>
  <c r="I7" i="30"/>
  <c r="I7" i="10"/>
  <c r="I7" i="12"/>
  <c r="I7" i="13"/>
  <c r="I7" i="11"/>
  <c r="I11" i="30"/>
  <c r="I11" i="11"/>
  <c r="I11" i="13"/>
  <c r="I11" i="10"/>
  <c r="I11" i="12"/>
  <c r="I13" i="30"/>
  <c r="I13" i="11"/>
  <c r="I13" i="13"/>
  <c r="I13" i="10"/>
  <c r="I13" i="12"/>
  <c r="I15" i="30"/>
  <c r="AH58" i="30" s="1"/>
  <c r="I15" i="10"/>
  <c r="I15" i="13"/>
  <c r="I15" i="12"/>
  <c r="I15" i="11"/>
  <c r="I19" i="30"/>
  <c r="I19" i="12"/>
  <c r="I19" i="11"/>
  <c r="I19" i="10"/>
  <c r="I19" i="13"/>
  <c r="I21" i="30"/>
  <c r="I21" i="11"/>
  <c r="I21" i="10"/>
  <c r="I21" i="13"/>
  <c r="I21" i="12"/>
  <c r="I23" i="30"/>
  <c r="I23" i="10"/>
  <c r="I23" i="13"/>
  <c r="I23" i="12"/>
  <c r="I23" i="11"/>
  <c r="I25" i="13"/>
  <c r="I25" i="12"/>
  <c r="I25" i="11"/>
  <c r="I27" i="30"/>
  <c r="I27" i="13"/>
  <c r="I27" i="12"/>
  <c r="I27" i="11"/>
  <c r="I27" i="10"/>
  <c r="I28" i="30"/>
  <c r="I28" i="12"/>
  <c r="I28" i="11"/>
  <c r="I28" i="10"/>
  <c r="I28" i="13"/>
  <c r="I29" i="30"/>
  <c r="I29" i="12"/>
  <c r="I29" i="11"/>
  <c r="I29" i="10"/>
  <c r="I29" i="13"/>
  <c r="I31" i="30"/>
  <c r="I31" i="10"/>
  <c r="I31" i="13"/>
  <c r="I31" i="12"/>
  <c r="I31" i="11"/>
  <c r="I33" i="30"/>
  <c r="I33" i="13"/>
  <c r="I33" i="12"/>
  <c r="I33" i="11"/>
  <c r="I33" i="10"/>
  <c r="I35" i="30"/>
  <c r="Z78" i="30" s="1"/>
  <c r="I35" i="13"/>
  <c r="I35" i="12"/>
  <c r="I35" i="11"/>
  <c r="I35" i="10"/>
  <c r="I36" i="30"/>
  <c r="AD79" i="30" s="1"/>
  <c r="I36" i="11"/>
  <c r="I36" i="13"/>
  <c r="I36" i="12"/>
  <c r="I36" i="10"/>
  <c r="I37" i="13"/>
  <c r="I37" i="12"/>
  <c r="I37" i="10"/>
  <c r="I39" i="30"/>
  <c r="I39" i="10"/>
  <c r="I39" i="12"/>
  <c r="I39" i="11"/>
  <c r="I39" i="13"/>
  <c r="I41" i="30"/>
  <c r="I41" i="11"/>
  <c r="I41" i="13"/>
  <c r="I41" i="10"/>
  <c r="I41" i="12"/>
  <c r="I12" i="29"/>
  <c r="AK64" i="29" s="1"/>
  <c r="I12" i="6"/>
  <c r="I12" i="14"/>
  <c r="I12" i="9"/>
  <c r="I12" i="8"/>
  <c r="I12" i="7"/>
  <c r="I18" i="29"/>
  <c r="I18" i="14"/>
  <c r="I18" i="9"/>
  <c r="I18" i="6"/>
  <c r="I18" i="8"/>
  <c r="I18" i="7"/>
  <c r="I22" i="29"/>
  <c r="AK74" i="29" s="1"/>
  <c r="I22" i="6"/>
  <c r="I22" i="8"/>
  <c r="I22" i="7"/>
  <c r="I22" i="14"/>
  <c r="I22" i="9"/>
  <c r="I26" i="29"/>
  <c r="I26" i="14"/>
  <c r="I26" i="9"/>
  <c r="I26" i="7"/>
  <c r="I26" i="6"/>
  <c r="I26" i="8"/>
  <c r="I31" i="29"/>
  <c r="I31" i="14"/>
  <c r="I31" i="8"/>
  <c r="I31" i="7"/>
  <c r="I31" i="9"/>
  <c r="I31" i="6"/>
  <c r="I34" i="29"/>
  <c r="I34" i="14"/>
  <c r="I34" i="9"/>
  <c r="I34" i="7"/>
  <c r="I34" i="6"/>
  <c r="I34" i="8"/>
  <c r="I40" i="29"/>
  <c r="I40" i="14"/>
  <c r="I40" i="8"/>
  <c r="I40" i="9"/>
  <c r="I40" i="6"/>
  <c r="I40" i="7"/>
  <c r="I44" i="29"/>
  <c r="I44" i="14"/>
  <c r="I44" i="9"/>
  <c r="I44" i="6"/>
  <c r="I44" i="8"/>
  <c r="I44" i="7"/>
  <c r="I50" i="29"/>
  <c r="I50" i="14"/>
  <c r="I50" i="9"/>
  <c r="I50" i="7"/>
  <c r="M69" i="6" s="1"/>
  <c r="I50" i="6"/>
  <c r="I50" i="8"/>
  <c r="I5" i="30"/>
  <c r="P14" i="5"/>
  <c r="I5" i="13"/>
  <c r="I5" i="11"/>
  <c r="I5" i="12"/>
  <c r="I5" i="10"/>
  <c r="I9" i="30"/>
  <c r="AG52" i="30" s="1"/>
  <c r="I9" i="11"/>
  <c r="I9" i="10"/>
  <c r="I9" i="12"/>
  <c r="I17" i="30"/>
  <c r="I17" i="12"/>
  <c r="I17" i="11"/>
  <c r="I17" i="10"/>
  <c r="I17" i="13"/>
  <c r="I6" i="29"/>
  <c r="I6" i="14"/>
  <c r="I6" i="8"/>
  <c r="I6" i="7"/>
  <c r="I6" i="6"/>
  <c r="I6" i="9"/>
  <c r="I14" i="29"/>
  <c r="I14" i="8"/>
  <c r="I14" i="7"/>
  <c r="I14" i="6"/>
  <c r="I30" i="29"/>
  <c r="I30" i="14"/>
  <c r="I30" i="6"/>
  <c r="I30" i="8"/>
  <c r="I30" i="7"/>
  <c r="I30" i="9"/>
  <c r="I36" i="29"/>
  <c r="I36" i="14"/>
  <c r="I36" i="9"/>
  <c r="I36" i="6"/>
  <c r="I36" i="8"/>
  <c r="I36" i="7"/>
  <c r="I38" i="29"/>
  <c r="I38" i="14"/>
  <c r="I38" i="6"/>
  <c r="I38" i="8"/>
  <c r="I38" i="7"/>
  <c r="I38" i="9"/>
  <c r="I46" i="29"/>
  <c r="I46" i="14"/>
  <c r="I46" i="6"/>
  <c r="I46" i="8"/>
  <c r="I46" i="7"/>
  <c r="I46" i="9"/>
  <c r="I8" i="29"/>
  <c r="I8" i="8"/>
  <c r="I8" i="7"/>
  <c r="I8" i="14"/>
  <c r="I8" i="6"/>
  <c r="I8" i="9"/>
  <c r="AD57" i="6"/>
  <c r="AT3" i="16"/>
  <c r="AJ3" i="16"/>
  <c r="AT6" i="16"/>
  <c r="AJ6" i="16"/>
  <c r="AB55" i="7"/>
  <c r="AM57" i="7"/>
  <c r="AJ4" i="16"/>
  <c r="AT4" i="16"/>
  <c r="AJ5" i="16"/>
  <c r="AA12" i="27"/>
  <c r="AO4" i="16"/>
  <c r="AO3" i="16"/>
  <c r="AO5" i="16"/>
  <c r="AT2" i="16"/>
  <c r="AO2" i="16"/>
  <c r="AO7" i="16" s="1"/>
  <c r="AA11" i="27"/>
  <c r="AO6" i="16"/>
  <c r="AC7" i="17"/>
  <c r="AC15" i="17"/>
  <c r="AC23" i="17"/>
  <c r="AC54" i="17"/>
  <c r="AA9" i="27"/>
  <c r="AA10" i="27"/>
  <c r="AC52" i="17"/>
  <c r="AC56" i="17"/>
  <c r="AC60" i="17"/>
  <c r="AC80" i="17"/>
  <c r="AC88" i="17"/>
  <c r="AC96" i="17"/>
  <c r="AC104" i="17"/>
  <c r="AC136" i="17"/>
  <c r="AC144" i="17"/>
  <c r="AC152" i="17"/>
  <c r="M224" i="27"/>
  <c r="AG4" i="27"/>
  <c r="AI13" i="27"/>
  <c r="AC31" i="17"/>
  <c r="AI6" i="27"/>
  <c r="AF8" i="27"/>
  <c r="P15" i="5"/>
  <c r="AC105" i="17"/>
  <c r="AC113" i="17"/>
  <c r="AC121" i="17"/>
  <c r="AJ6" i="27"/>
  <c r="P17" i="5"/>
  <c r="Y5" i="27"/>
  <c r="AG5" i="27" s="1"/>
  <c r="AC3" i="17"/>
  <c r="AC11" i="17"/>
  <c r="AC19" i="17"/>
  <c r="AC27" i="17"/>
  <c r="AC35" i="17"/>
  <c r="AC38" i="17"/>
  <c r="AC40" i="17"/>
  <c r="AC42" i="17"/>
  <c r="AC44" i="17"/>
  <c r="AC46" i="17"/>
  <c r="AC48" i="17"/>
  <c r="AC63" i="17"/>
  <c r="AC65" i="17"/>
  <c r="AC67" i="17"/>
  <c r="AC69" i="17"/>
  <c r="AC71" i="17"/>
  <c r="AC73" i="17"/>
  <c r="AC157" i="17"/>
  <c r="AC159" i="17"/>
  <c r="AC161" i="17"/>
  <c r="AC163" i="17"/>
  <c r="AC165" i="17"/>
  <c r="AC167" i="17"/>
  <c r="D36" i="5"/>
  <c r="AY62" i="29"/>
  <c r="AQ62" i="29"/>
  <c r="AI62" i="29"/>
  <c r="AX62" i="29"/>
  <c r="AP62" i="29"/>
  <c r="AW62" i="29"/>
  <c r="AO62" i="29"/>
  <c r="BD62" i="29"/>
  <c r="AV62" i="29"/>
  <c r="AN62" i="29"/>
  <c r="BC62" i="29"/>
  <c r="AU62" i="29"/>
  <c r="AM62" i="29"/>
  <c r="BB62" i="29"/>
  <c r="AT62" i="29"/>
  <c r="AL62" i="29"/>
  <c r="AZ62" i="29"/>
  <c r="AR62" i="29"/>
  <c r="AJ62" i="29"/>
  <c r="BC70" i="29"/>
  <c r="AU70" i="29"/>
  <c r="AM70" i="29"/>
  <c r="BB70" i="29"/>
  <c r="AT70" i="29"/>
  <c r="AL70" i="29"/>
  <c r="AY70" i="29"/>
  <c r="AQ70" i="29"/>
  <c r="AI70" i="29"/>
  <c r="AW70" i="29"/>
  <c r="AO70" i="29"/>
  <c r="AS70" i="29"/>
  <c r="AR70" i="29"/>
  <c r="AP70" i="29"/>
  <c r="BD70" i="29"/>
  <c r="AN70" i="29"/>
  <c r="BA70" i="29"/>
  <c r="AK70" i="29"/>
  <c r="AZ70" i="29"/>
  <c r="AJ70" i="29"/>
  <c r="AV70" i="29"/>
  <c r="BD78" i="29"/>
  <c r="AV78" i="29"/>
  <c r="AN78" i="29"/>
  <c r="AZ78" i="29"/>
  <c r="AR78" i="29"/>
  <c r="AJ78" i="29"/>
  <c r="AU78" i="29"/>
  <c r="AK78" i="29"/>
  <c r="AT78" i="29"/>
  <c r="AI78" i="29"/>
  <c r="BC78" i="29"/>
  <c r="AS78" i="29"/>
  <c r="BB78" i="29"/>
  <c r="AQ78" i="29"/>
  <c r="BA78" i="29"/>
  <c r="AP78" i="29"/>
  <c r="AY78" i="29"/>
  <c r="AO78" i="29"/>
  <c r="R78" i="29"/>
  <c r="AW78" i="29"/>
  <c r="AL78" i="29"/>
  <c r="P78" i="29"/>
  <c r="AM78" i="29"/>
  <c r="BD86" i="29"/>
  <c r="AV86" i="29"/>
  <c r="AN86" i="29"/>
  <c r="BC86" i="29"/>
  <c r="AU86" i="29"/>
  <c r="AM86" i="29"/>
  <c r="BB86" i="29"/>
  <c r="AT86" i="29"/>
  <c r="AL86" i="29"/>
  <c r="BA86" i="29"/>
  <c r="AS86" i="29"/>
  <c r="AK86" i="29"/>
  <c r="AZ86" i="29"/>
  <c r="AR86" i="29"/>
  <c r="AJ86" i="29"/>
  <c r="AX86" i="29"/>
  <c r="AP86" i="29"/>
  <c r="AO86" i="29"/>
  <c r="AI86" i="29"/>
  <c r="AY86" i="29"/>
  <c r="AQ86" i="29"/>
  <c r="AW86" i="29"/>
  <c r="BB94" i="29"/>
  <c r="AT94" i="29"/>
  <c r="AL94" i="29"/>
  <c r="BA94" i="29"/>
  <c r="AS94" i="29"/>
  <c r="AK94" i="29"/>
  <c r="AZ94" i="29"/>
  <c r="AR94" i="29"/>
  <c r="AJ94" i="29"/>
  <c r="AY94" i="29"/>
  <c r="AQ94" i="29"/>
  <c r="AI94" i="29"/>
  <c r="AX94" i="29"/>
  <c r="AP94" i="29"/>
  <c r="AW94" i="29"/>
  <c r="AO94" i="29"/>
  <c r="BC94" i="29"/>
  <c r="AU94" i="29"/>
  <c r="AM94" i="29"/>
  <c r="BD94" i="29"/>
  <c r="AN94" i="29"/>
  <c r="AV94" i="29"/>
  <c r="BB102" i="29"/>
  <c r="AT102" i="29"/>
  <c r="AL102" i="29"/>
  <c r="BA102" i="29"/>
  <c r="AS102" i="29"/>
  <c r="AK102" i="29"/>
  <c r="AZ102" i="29"/>
  <c r="AR102" i="29"/>
  <c r="AJ102" i="29"/>
  <c r="AY102" i="29"/>
  <c r="AQ102" i="29"/>
  <c r="AI102" i="29"/>
  <c r="AX102" i="29"/>
  <c r="AP102" i="29"/>
  <c r="AW102" i="29"/>
  <c r="AO102" i="29"/>
  <c r="BC102" i="29"/>
  <c r="AU102" i="29"/>
  <c r="AM102" i="29"/>
  <c r="BD102" i="29"/>
  <c r="AV102" i="29"/>
  <c r="AN102" i="29"/>
  <c r="AK58" i="29"/>
  <c r="BA62" i="29"/>
  <c r="AX103" i="29"/>
  <c r="AP103" i="29"/>
  <c r="AW103" i="29"/>
  <c r="AO103" i="29"/>
  <c r="BD103" i="29"/>
  <c r="AV103" i="29"/>
  <c r="AN103" i="29"/>
  <c r="BC103" i="29"/>
  <c r="AU103" i="29"/>
  <c r="AM103" i="29"/>
  <c r="BB103" i="29"/>
  <c r="AT103" i="29"/>
  <c r="AL103" i="29"/>
  <c r="BA103" i="29"/>
  <c r="AS103" i="29"/>
  <c r="AK103" i="29"/>
  <c r="AY103" i="29"/>
  <c r="AQ103" i="29"/>
  <c r="AI103" i="29"/>
  <c r="AZ103" i="29"/>
  <c r="AR103" i="29"/>
  <c r="AJ103" i="29"/>
  <c r="AY64" i="29"/>
  <c r="AQ64" i="29"/>
  <c r="AI64" i="29"/>
  <c r="AX64" i="29"/>
  <c r="AP64" i="29"/>
  <c r="AW64" i="29"/>
  <c r="AO64" i="29"/>
  <c r="BD64" i="29"/>
  <c r="AV64" i="29"/>
  <c r="AN64" i="29"/>
  <c r="BC64" i="29"/>
  <c r="AU64" i="29"/>
  <c r="AM64" i="29"/>
  <c r="BB64" i="29"/>
  <c r="AT64" i="29"/>
  <c r="AL64" i="29"/>
  <c r="AZ64" i="29"/>
  <c r="AR64" i="29"/>
  <c r="AJ64" i="29"/>
  <c r="BC72" i="29"/>
  <c r="AU72" i="29"/>
  <c r="AM72" i="29"/>
  <c r="BB72" i="29"/>
  <c r="AT72" i="29"/>
  <c r="AL72" i="29"/>
  <c r="AY72" i="29"/>
  <c r="AQ72" i="29"/>
  <c r="AI72" i="29"/>
  <c r="AW72" i="29"/>
  <c r="AO72" i="29"/>
  <c r="BA72" i="29"/>
  <c r="AK72" i="29"/>
  <c r="AZ72" i="29"/>
  <c r="AJ72" i="29"/>
  <c r="AX72" i="29"/>
  <c r="AV72" i="29"/>
  <c r="AS72" i="29"/>
  <c r="AR72" i="29"/>
  <c r="BD72" i="29"/>
  <c r="AN72" i="29"/>
  <c r="BD80" i="29"/>
  <c r="AV80" i="29"/>
  <c r="AN80" i="29"/>
  <c r="BC80" i="29"/>
  <c r="AU80" i="29"/>
  <c r="AM80" i="29"/>
  <c r="BB80" i="29"/>
  <c r="AT80" i="29"/>
  <c r="AL80" i="29"/>
  <c r="BA80" i="29"/>
  <c r="AS80" i="29"/>
  <c r="AK80" i="29"/>
  <c r="AZ80" i="29"/>
  <c r="AR80" i="29"/>
  <c r="AJ80" i="29"/>
  <c r="AX80" i="29"/>
  <c r="AP80" i="29"/>
  <c r="AW80" i="29"/>
  <c r="P80" i="29"/>
  <c r="AQ80" i="29"/>
  <c r="AO80" i="29"/>
  <c r="AI80" i="29"/>
  <c r="AY80" i="29"/>
  <c r="R80" i="29"/>
  <c r="BD88" i="29"/>
  <c r="AV88" i="29"/>
  <c r="AN88" i="29"/>
  <c r="BC88" i="29"/>
  <c r="AU88" i="29"/>
  <c r="AM88" i="29"/>
  <c r="BB88" i="29"/>
  <c r="AT88" i="29"/>
  <c r="AL88" i="29"/>
  <c r="BA88" i="29"/>
  <c r="AS88" i="29"/>
  <c r="AK88" i="29"/>
  <c r="AZ88" i="29"/>
  <c r="AR88" i="29"/>
  <c r="AJ88" i="29"/>
  <c r="AX88" i="29"/>
  <c r="AP88" i="29"/>
  <c r="AW88" i="29"/>
  <c r="AQ88" i="29"/>
  <c r="AO88" i="29"/>
  <c r="AI88" i="29"/>
  <c r="AY88" i="29"/>
  <c r="BB96" i="29"/>
  <c r="AT96" i="29"/>
  <c r="AL96" i="29"/>
  <c r="BA96" i="29"/>
  <c r="AS96" i="29"/>
  <c r="AK96" i="29"/>
  <c r="AZ96" i="29"/>
  <c r="AR96" i="29"/>
  <c r="AJ96" i="29"/>
  <c r="AY96" i="29"/>
  <c r="AQ96" i="29"/>
  <c r="AI96" i="29"/>
  <c r="AX96" i="29"/>
  <c r="AP96" i="29"/>
  <c r="AW96" i="29"/>
  <c r="AO96" i="29"/>
  <c r="BC96" i="29"/>
  <c r="AU96" i="29"/>
  <c r="AM96" i="29"/>
  <c r="BD96" i="29"/>
  <c r="AV96" i="29"/>
  <c r="AN96" i="29"/>
  <c r="AS64" i="29"/>
  <c r="AX70" i="29"/>
  <c r="BC63" i="29"/>
  <c r="AU63" i="29"/>
  <c r="AM63" i="29"/>
  <c r="BB63" i="29"/>
  <c r="AT63" i="29"/>
  <c r="AL63" i="29"/>
  <c r="BA63" i="29"/>
  <c r="AS63" i="29"/>
  <c r="AK63" i="29"/>
  <c r="AZ63" i="29"/>
  <c r="AR63" i="29"/>
  <c r="AJ63" i="29"/>
  <c r="AY63" i="29"/>
  <c r="AQ63" i="29"/>
  <c r="AI63" i="29"/>
  <c r="AX63" i="29"/>
  <c r="AP63" i="29"/>
  <c r="BD63" i="29"/>
  <c r="AV63" i="29"/>
  <c r="AN63" i="29"/>
  <c r="BC57" i="29"/>
  <c r="AU57" i="29"/>
  <c r="AM57" i="29"/>
  <c r="BB57" i="29"/>
  <c r="AT57" i="29"/>
  <c r="AL57" i="29"/>
  <c r="BA57" i="29"/>
  <c r="AS57" i="29"/>
  <c r="AK57" i="29"/>
  <c r="AZ57" i="29"/>
  <c r="AR57" i="29"/>
  <c r="AJ57" i="29"/>
  <c r="AY57" i="29"/>
  <c r="AQ57" i="29"/>
  <c r="AI57" i="29"/>
  <c r="AX57" i="29"/>
  <c r="AP57" i="29"/>
  <c r="BD57" i="29"/>
  <c r="AV57" i="29"/>
  <c r="AN57" i="29"/>
  <c r="BC65" i="29"/>
  <c r="AU65" i="29"/>
  <c r="AM65" i="29"/>
  <c r="BB65" i="29"/>
  <c r="AT65" i="29"/>
  <c r="AL65" i="29"/>
  <c r="BA65" i="29"/>
  <c r="AS65" i="29"/>
  <c r="AK65" i="29"/>
  <c r="AZ65" i="29"/>
  <c r="AR65" i="29"/>
  <c r="AJ65" i="29"/>
  <c r="AY65" i="29"/>
  <c r="AQ65" i="29"/>
  <c r="AI65" i="29"/>
  <c r="AX65" i="29"/>
  <c r="AP65" i="29"/>
  <c r="BD65" i="29"/>
  <c r="AV65" i="29"/>
  <c r="AN65" i="29"/>
  <c r="AZ73" i="29"/>
  <c r="AY73" i="29"/>
  <c r="AQ73" i="29"/>
  <c r="AI73" i="29"/>
  <c r="R73" i="29"/>
  <c r="AX73" i="29"/>
  <c r="AP73" i="29"/>
  <c r="BD73" i="29"/>
  <c r="AV73" i="29"/>
  <c r="AN73" i="29"/>
  <c r="BC73" i="29"/>
  <c r="AU73" i="29"/>
  <c r="AM73" i="29"/>
  <c r="BA73" i="29"/>
  <c r="AS73" i="29"/>
  <c r="AK73" i="29"/>
  <c r="AR73" i="29"/>
  <c r="AO73" i="29"/>
  <c r="AL73" i="29"/>
  <c r="AJ73" i="29"/>
  <c r="P73" i="29"/>
  <c r="BB73" i="29"/>
  <c r="AT73" i="29"/>
  <c r="AZ81" i="29"/>
  <c r="AR81" i="29"/>
  <c r="AJ81" i="29"/>
  <c r="AY81" i="29"/>
  <c r="AQ81" i="29"/>
  <c r="AI81" i="29"/>
  <c r="R81" i="29"/>
  <c r="AX81" i="29"/>
  <c r="AP81" i="29"/>
  <c r="AW81" i="29"/>
  <c r="AO81" i="29"/>
  <c r="P81" i="29"/>
  <c r="BD81" i="29"/>
  <c r="AV81" i="29"/>
  <c r="AN81" i="29"/>
  <c r="BB81" i="29"/>
  <c r="AT81" i="29"/>
  <c r="AL81" i="29"/>
  <c r="AK81" i="29"/>
  <c r="BC81" i="29"/>
  <c r="BA81" i="29"/>
  <c r="AU81" i="29"/>
  <c r="AM81" i="29"/>
  <c r="AS81" i="29"/>
  <c r="AZ89" i="29"/>
  <c r="AR89" i="29"/>
  <c r="AJ89" i="29"/>
  <c r="AY89" i="29"/>
  <c r="AQ89" i="29"/>
  <c r="AI89" i="29"/>
  <c r="AX89" i="29"/>
  <c r="AP89" i="29"/>
  <c r="AW89" i="29"/>
  <c r="AO89" i="29"/>
  <c r="BD89" i="29"/>
  <c r="AV89" i="29"/>
  <c r="AN89" i="29"/>
  <c r="BB89" i="29"/>
  <c r="AT89" i="29"/>
  <c r="AL89" i="29"/>
  <c r="AK89" i="29"/>
  <c r="BC89" i="29"/>
  <c r="BA89" i="29"/>
  <c r="AU89" i="29"/>
  <c r="AM89" i="29"/>
  <c r="AS89" i="29"/>
  <c r="AX97" i="29"/>
  <c r="AP97" i="29"/>
  <c r="AW97" i="29"/>
  <c r="AO97" i="29"/>
  <c r="BD97" i="29"/>
  <c r="AV97" i="29"/>
  <c r="AN97" i="29"/>
  <c r="BC97" i="29"/>
  <c r="AU97" i="29"/>
  <c r="AM97" i="29"/>
  <c r="BB97" i="29"/>
  <c r="AT97" i="29"/>
  <c r="AL97" i="29"/>
  <c r="BA97" i="29"/>
  <c r="AS97" i="29"/>
  <c r="AK97" i="29"/>
  <c r="AY97" i="29"/>
  <c r="AQ97" i="29"/>
  <c r="AI97" i="29"/>
  <c r="AZ97" i="29"/>
  <c r="AJ97" i="29"/>
  <c r="AR97" i="29"/>
  <c r="AO57" i="29"/>
  <c r="AK60" i="29"/>
  <c r="BA64" i="29"/>
  <c r="AZ87" i="29"/>
  <c r="AR87" i="29"/>
  <c r="AJ87" i="29"/>
  <c r="AY87" i="29"/>
  <c r="AQ87" i="29"/>
  <c r="AI87" i="29"/>
  <c r="AX87" i="29"/>
  <c r="AP87" i="29"/>
  <c r="AW87" i="29"/>
  <c r="AO87" i="29"/>
  <c r="BD87" i="29"/>
  <c r="AV87" i="29"/>
  <c r="AN87" i="29"/>
  <c r="BB87" i="29"/>
  <c r="AT87" i="29"/>
  <c r="AL87" i="29"/>
  <c r="BC87" i="29"/>
  <c r="BA87" i="29"/>
  <c r="AU87" i="29"/>
  <c r="AS87" i="29"/>
  <c r="AM87" i="29"/>
  <c r="AK87" i="29"/>
  <c r="AY58" i="29"/>
  <c r="AQ58" i="29"/>
  <c r="AI58" i="29"/>
  <c r="AX58" i="29"/>
  <c r="AP58" i="29"/>
  <c r="AW58" i="29"/>
  <c r="AO58" i="29"/>
  <c r="BD58" i="29"/>
  <c r="AV58" i="29"/>
  <c r="AN58" i="29"/>
  <c r="BC58" i="29"/>
  <c r="AU58" i="29"/>
  <c r="AM58" i="29"/>
  <c r="BB58" i="29"/>
  <c r="AT58" i="29"/>
  <c r="AL58" i="29"/>
  <c r="AZ58" i="29"/>
  <c r="AR58" i="29"/>
  <c r="AJ58" i="29"/>
  <c r="AY66" i="29"/>
  <c r="AQ66" i="29"/>
  <c r="AI66" i="29"/>
  <c r="AX66" i="29"/>
  <c r="AP66" i="29"/>
  <c r="AW66" i="29"/>
  <c r="AO66" i="29"/>
  <c r="BD66" i="29"/>
  <c r="AV66" i="29"/>
  <c r="AN66" i="29"/>
  <c r="BC66" i="29"/>
  <c r="AU66" i="29"/>
  <c r="AM66" i="29"/>
  <c r="BB66" i="29"/>
  <c r="AT66" i="29"/>
  <c r="AL66" i="29"/>
  <c r="AZ66" i="29"/>
  <c r="AR66" i="29"/>
  <c r="AJ66" i="29"/>
  <c r="BD74" i="29"/>
  <c r="AV74" i="29"/>
  <c r="AN74" i="29"/>
  <c r="BC74" i="29"/>
  <c r="AU74" i="29"/>
  <c r="AM74" i="29"/>
  <c r="BB74" i="29"/>
  <c r="AT74" i="29"/>
  <c r="AL74" i="29"/>
  <c r="BA74" i="29"/>
  <c r="AZ74" i="29"/>
  <c r="AR74" i="29"/>
  <c r="AJ74" i="29"/>
  <c r="AY74" i="29"/>
  <c r="AQ74" i="29"/>
  <c r="AI74" i="29"/>
  <c r="R74" i="29"/>
  <c r="AW74" i="29"/>
  <c r="AO74" i="29"/>
  <c r="P74" i="29"/>
  <c r="AX74" i="29"/>
  <c r="AS74" i="29"/>
  <c r="AP74" i="29"/>
  <c r="BD82" i="29"/>
  <c r="AV82" i="29"/>
  <c r="AN82" i="29"/>
  <c r="BC82" i="29"/>
  <c r="AU82" i="29"/>
  <c r="AM82" i="29"/>
  <c r="BB82" i="29"/>
  <c r="AT82" i="29"/>
  <c r="AL82" i="29"/>
  <c r="BA82" i="29"/>
  <c r="AS82" i="29"/>
  <c r="AK82" i="29"/>
  <c r="AZ82" i="29"/>
  <c r="AR82" i="29"/>
  <c r="AJ82" i="29"/>
  <c r="AX82" i="29"/>
  <c r="AP82" i="29"/>
  <c r="AY82" i="29"/>
  <c r="AW82" i="29"/>
  <c r="AQ82" i="29"/>
  <c r="AO82" i="29"/>
  <c r="AI82" i="29"/>
  <c r="BD90" i="29"/>
  <c r="AV90" i="29"/>
  <c r="AN90" i="29"/>
  <c r="BC90" i="29"/>
  <c r="AU90" i="29"/>
  <c r="AM90" i="29"/>
  <c r="BB90" i="29"/>
  <c r="AT90" i="29"/>
  <c r="AL90" i="29"/>
  <c r="BA90" i="29"/>
  <c r="AS90" i="29"/>
  <c r="AK90" i="29"/>
  <c r="AZ90" i="29"/>
  <c r="AR90" i="29"/>
  <c r="AJ90" i="29"/>
  <c r="AX90" i="29"/>
  <c r="AP90" i="29"/>
  <c r="AY90" i="29"/>
  <c r="AW90" i="29"/>
  <c r="AQ90" i="29"/>
  <c r="AO90" i="29"/>
  <c r="AI90" i="29"/>
  <c r="BB98" i="29"/>
  <c r="AT98" i="29"/>
  <c r="AL98" i="29"/>
  <c r="BA98" i="29"/>
  <c r="AS98" i="29"/>
  <c r="AK98" i="29"/>
  <c r="AZ98" i="29"/>
  <c r="AR98" i="29"/>
  <c r="AJ98" i="29"/>
  <c r="AY98" i="29"/>
  <c r="AQ98" i="29"/>
  <c r="AI98" i="29"/>
  <c r="AX98" i="29"/>
  <c r="AP98" i="29"/>
  <c r="AW98" i="29"/>
  <c r="AO98" i="29"/>
  <c r="BC98" i="29"/>
  <c r="AU98" i="29"/>
  <c r="AM98" i="29"/>
  <c r="AN98" i="29"/>
  <c r="BD98" i="29"/>
  <c r="AV98" i="29"/>
  <c r="AW57" i="29"/>
  <c r="AS60" i="29"/>
  <c r="AO63" i="29"/>
  <c r="AK66" i="29"/>
  <c r="AL71" i="29"/>
  <c r="AX95" i="29"/>
  <c r="AP95" i="29"/>
  <c r="AW95" i="29"/>
  <c r="AO95" i="29"/>
  <c r="BD95" i="29"/>
  <c r="AV95" i="29"/>
  <c r="AN95" i="29"/>
  <c r="BC95" i="29"/>
  <c r="AU95" i="29"/>
  <c r="AM95" i="29"/>
  <c r="BB95" i="29"/>
  <c r="AT95" i="29"/>
  <c r="AL95" i="29"/>
  <c r="BA95" i="29"/>
  <c r="AS95" i="29"/>
  <c r="AK95" i="29"/>
  <c r="AY95" i="29"/>
  <c r="AQ95" i="29"/>
  <c r="AI95" i="29"/>
  <c r="AR95" i="29"/>
  <c r="AJ95" i="29"/>
  <c r="AZ95" i="29"/>
  <c r="BC59" i="29"/>
  <c r="AU59" i="29"/>
  <c r="AM59" i="29"/>
  <c r="BB59" i="29"/>
  <c r="AT59" i="29"/>
  <c r="AL59" i="29"/>
  <c r="BA59" i="29"/>
  <c r="AS59" i="29"/>
  <c r="AK59" i="29"/>
  <c r="AZ59" i="29"/>
  <c r="AR59" i="29"/>
  <c r="AJ59" i="29"/>
  <c r="AY59" i="29"/>
  <c r="AQ59" i="29"/>
  <c r="AI59" i="29"/>
  <c r="AX59" i="29"/>
  <c r="AP59" i="29"/>
  <c r="BD59" i="29"/>
  <c r="AV59" i="29"/>
  <c r="AN59" i="29"/>
  <c r="AY67" i="29"/>
  <c r="AQ67" i="29"/>
  <c r="AI67" i="29"/>
  <c r="AX67" i="29"/>
  <c r="AP67" i="29"/>
  <c r="BC67" i="29"/>
  <c r="AU67" i="29"/>
  <c r="AM67" i="29"/>
  <c r="BA67" i="29"/>
  <c r="AS67" i="29"/>
  <c r="AW67" i="29"/>
  <c r="AJ67" i="29"/>
  <c r="AV67" i="29"/>
  <c r="AT67" i="29"/>
  <c r="AR67" i="29"/>
  <c r="AO67" i="29"/>
  <c r="BD67" i="29"/>
  <c r="AN67" i="29"/>
  <c r="AZ67" i="29"/>
  <c r="AK67" i="29"/>
  <c r="AZ75" i="29"/>
  <c r="AR75" i="29"/>
  <c r="AJ75" i="29"/>
  <c r="AY75" i="29"/>
  <c r="AQ75" i="29"/>
  <c r="AI75" i="29"/>
  <c r="R75" i="29"/>
  <c r="AX75" i="29"/>
  <c r="AP75" i="29"/>
  <c r="AW75" i="29"/>
  <c r="AO75" i="29"/>
  <c r="P75" i="29"/>
  <c r="BD75" i="29"/>
  <c r="AV75" i="29"/>
  <c r="AN75" i="29"/>
  <c r="BC75" i="29"/>
  <c r="AU75" i="29"/>
  <c r="AM75" i="29"/>
  <c r="BA75" i="29"/>
  <c r="AS75" i="29"/>
  <c r="AK75" i="29"/>
  <c r="BB75" i="29"/>
  <c r="AL75" i="29"/>
  <c r="AZ83" i="29"/>
  <c r="AR83" i="29"/>
  <c r="AJ83" i="29"/>
  <c r="AY83" i="29"/>
  <c r="AQ83" i="29"/>
  <c r="AI83" i="29"/>
  <c r="AX83" i="29"/>
  <c r="AP83" i="29"/>
  <c r="AW83" i="29"/>
  <c r="AO83" i="29"/>
  <c r="BD83" i="29"/>
  <c r="AV83" i="29"/>
  <c r="AN83" i="29"/>
  <c r="BB83" i="29"/>
  <c r="AT83" i="29"/>
  <c r="AL83" i="29"/>
  <c r="AS83" i="29"/>
  <c r="AM83" i="29"/>
  <c r="AK83" i="29"/>
  <c r="BC83" i="29"/>
  <c r="AU83" i="29"/>
  <c r="BA83" i="29"/>
  <c r="AZ91" i="29"/>
  <c r="AR91" i="29"/>
  <c r="AJ91" i="29"/>
  <c r="AY91" i="29"/>
  <c r="AQ91" i="29"/>
  <c r="AI91" i="29"/>
  <c r="AX91" i="29"/>
  <c r="AP91" i="29"/>
  <c r="AW91" i="29"/>
  <c r="AO91" i="29"/>
  <c r="BD91" i="29"/>
  <c r="AV91" i="29"/>
  <c r="AN91" i="29"/>
  <c r="BB91" i="29"/>
  <c r="AT91" i="29"/>
  <c r="AL91" i="29"/>
  <c r="AS91" i="29"/>
  <c r="AM91" i="29"/>
  <c r="AK91" i="29"/>
  <c r="BC91" i="29"/>
  <c r="AU91" i="29"/>
  <c r="BA91" i="29"/>
  <c r="AX99" i="29"/>
  <c r="AP99" i="29"/>
  <c r="AW99" i="29"/>
  <c r="AO99" i="29"/>
  <c r="BD99" i="29"/>
  <c r="AV99" i="29"/>
  <c r="AN99" i="29"/>
  <c r="BC99" i="29"/>
  <c r="AU99" i="29"/>
  <c r="AM99" i="29"/>
  <c r="BB99" i="29"/>
  <c r="AT99" i="29"/>
  <c r="AL99" i="29"/>
  <c r="BA99" i="29"/>
  <c r="AS99" i="29"/>
  <c r="AK99" i="29"/>
  <c r="AY99" i="29"/>
  <c r="AQ99" i="29"/>
  <c r="AI99" i="29"/>
  <c r="AZ99" i="29"/>
  <c r="AR99" i="29"/>
  <c r="AJ99" i="29"/>
  <c r="AW63" i="29"/>
  <c r="AS66" i="29"/>
  <c r="AZ79" i="29"/>
  <c r="AR79" i="29"/>
  <c r="AJ79" i="29"/>
  <c r="AY79" i="29"/>
  <c r="AQ79" i="29"/>
  <c r="AX79" i="29"/>
  <c r="AP79" i="29"/>
  <c r="AW79" i="29"/>
  <c r="AO79" i="29"/>
  <c r="BD79" i="29"/>
  <c r="AV79" i="29"/>
  <c r="AN79" i="29"/>
  <c r="BB79" i="29"/>
  <c r="AT79" i="29"/>
  <c r="AI79" i="29"/>
  <c r="BC79" i="29"/>
  <c r="BA79" i="29"/>
  <c r="AU79" i="29"/>
  <c r="AS79" i="29"/>
  <c r="R79" i="29"/>
  <c r="AM79" i="29"/>
  <c r="AK79" i="29"/>
  <c r="AL79" i="29"/>
  <c r="P79" i="29"/>
  <c r="AY60" i="29"/>
  <c r="AQ60" i="29"/>
  <c r="AI60" i="29"/>
  <c r="AX60" i="29"/>
  <c r="AP60" i="29"/>
  <c r="AW60" i="29"/>
  <c r="AO60" i="29"/>
  <c r="BD60" i="29"/>
  <c r="AV60" i="29"/>
  <c r="AN60" i="29"/>
  <c r="BC60" i="29"/>
  <c r="AU60" i="29"/>
  <c r="AM60" i="29"/>
  <c r="BB60" i="29"/>
  <c r="AT60" i="29"/>
  <c r="AL60" i="29"/>
  <c r="AZ60" i="29"/>
  <c r="AR60" i="29"/>
  <c r="AJ60" i="29"/>
  <c r="BC68" i="29"/>
  <c r="AU68" i="29"/>
  <c r="AM68" i="29"/>
  <c r="BB68" i="29"/>
  <c r="AT68" i="29"/>
  <c r="AL68" i="29"/>
  <c r="AY68" i="29"/>
  <c r="AQ68" i="29"/>
  <c r="AI68" i="29"/>
  <c r="AW68" i="29"/>
  <c r="AO68" i="29"/>
  <c r="BA68" i="29"/>
  <c r="AK68" i="29"/>
  <c r="AZ68" i="29"/>
  <c r="AJ68" i="29"/>
  <c r="AX68" i="29"/>
  <c r="AV68" i="29"/>
  <c r="AS68" i="29"/>
  <c r="AR68" i="29"/>
  <c r="BD68" i="29"/>
  <c r="AN68" i="29"/>
  <c r="BD76" i="29"/>
  <c r="AV76" i="29"/>
  <c r="AN76" i="29"/>
  <c r="BC76" i="29"/>
  <c r="AU76" i="29"/>
  <c r="AM76" i="29"/>
  <c r="BB76" i="29"/>
  <c r="AT76" i="29"/>
  <c r="AL76" i="29"/>
  <c r="BA76" i="29"/>
  <c r="AS76" i="29"/>
  <c r="AK76" i="29"/>
  <c r="AZ76" i="29"/>
  <c r="AR76" i="29"/>
  <c r="AJ76" i="29"/>
  <c r="AY76" i="29"/>
  <c r="AQ76" i="29"/>
  <c r="AI76" i="29"/>
  <c r="R76" i="29"/>
  <c r="AW76" i="29"/>
  <c r="AO76" i="29"/>
  <c r="P76" i="29"/>
  <c r="AX76" i="29"/>
  <c r="AP76" i="29"/>
  <c r="BD84" i="29"/>
  <c r="AV84" i="29"/>
  <c r="AN84" i="29"/>
  <c r="BC84" i="29"/>
  <c r="AU84" i="29"/>
  <c r="AM84" i="29"/>
  <c r="BB84" i="29"/>
  <c r="AT84" i="29"/>
  <c r="AL84" i="29"/>
  <c r="BA84" i="29"/>
  <c r="AS84" i="29"/>
  <c r="AK84" i="29"/>
  <c r="AZ84" i="29"/>
  <c r="AR84" i="29"/>
  <c r="AJ84" i="29"/>
  <c r="AX84" i="29"/>
  <c r="AP84" i="29"/>
  <c r="AY84" i="29"/>
  <c r="AW84" i="29"/>
  <c r="AQ84" i="29"/>
  <c r="AI84" i="29"/>
  <c r="AO84" i="29"/>
  <c r="BD92" i="29"/>
  <c r="AV92" i="29"/>
  <c r="AN92" i="29"/>
  <c r="BC92" i="29"/>
  <c r="AU92" i="29"/>
  <c r="AM92" i="29"/>
  <c r="BB92" i="29"/>
  <c r="AT92" i="29"/>
  <c r="AL92" i="29"/>
  <c r="BA92" i="29"/>
  <c r="AS92" i="29"/>
  <c r="AK92" i="29"/>
  <c r="AZ92" i="29"/>
  <c r="AR92" i="29"/>
  <c r="AJ92" i="29"/>
  <c r="AX92" i="29"/>
  <c r="AP92" i="29"/>
  <c r="AY92" i="29"/>
  <c r="AW92" i="29"/>
  <c r="AQ92" i="29"/>
  <c r="AI92" i="29"/>
  <c r="AO92" i="29"/>
  <c r="BB100" i="29"/>
  <c r="AT100" i="29"/>
  <c r="AL100" i="29"/>
  <c r="BA100" i="29"/>
  <c r="AS100" i="29"/>
  <c r="AK100" i="29"/>
  <c r="AZ100" i="29"/>
  <c r="AR100" i="29"/>
  <c r="AJ100" i="29"/>
  <c r="AY100" i="29"/>
  <c r="AQ100" i="29"/>
  <c r="AI100" i="29"/>
  <c r="AX100" i="29"/>
  <c r="AP100" i="29"/>
  <c r="AW100" i="29"/>
  <c r="AO100" i="29"/>
  <c r="BC100" i="29"/>
  <c r="AU100" i="29"/>
  <c r="AM100" i="29"/>
  <c r="BD100" i="29"/>
  <c r="AV100" i="29"/>
  <c r="AN100" i="29"/>
  <c r="AO59" i="29"/>
  <c r="AK62" i="29"/>
  <c r="BA66" i="29"/>
  <c r="AX78" i="29"/>
  <c r="AY71" i="29"/>
  <c r="AQ71" i="29"/>
  <c r="AI71" i="29"/>
  <c r="AX71" i="29"/>
  <c r="AP71" i="29"/>
  <c r="BC71" i="29"/>
  <c r="AU71" i="29"/>
  <c r="AM71" i="29"/>
  <c r="BA71" i="29"/>
  <c r="AS71" i="29"/>
  <c r="AK71" i="29"/>
  <c r="AW71" i="29"/>
  <c r="AV71" i="29"/>
  <c r="AT71" i="29"/>
  <c r="AR71" i="29"/>
  <c r="AO71" i="29"/>
  <c r="BD71" i="29"/>
  <c r="AN71" i="29"/>
  <c r="AZ71" i="29"/>
  <c r="AJ71" i="29"/>
  <c r="AY69" i="29"/>
  <c r="AQ69" i="29"/>
  <c r="AI69" i="29"/>
  <c r="AX69" i="29"/>
  <c r="AP69" i="29"/>
  <c r="BC69" i="29"/>
  <c r="AU69" i="29"/>
  <c r="AM69" i="29"/>
  <c r="BA69" i="29"/>
  <c r="AS69" i="29"/>
  <c r="AK69" i="29"/>
  <c r="AO69" i="29"/>
  <c r="BD69" i="29"/>
  <c r="AN69" i="29"/>
  <c r="BB69" i="29"/>
  <c r="AL69" i="29"/>
  <c r="AZ69" i="29"/>
  <c r="AJ69" i="29"/>
  <c r="AW69" i="29"/>
  <c r="AV69" i="29"/>
  <c r="AR69" i="29"/>
  <c r="AZ77" i="29"/>
  <c r="AR77" i="29"/>
  <c r="AJ77" i="29"/>
  <c r="AY77" i="29"/>
  <c r="AQ77" i="29"/>
  <c r="AI77" i="29"/>
  <c r="AX77" i="29"/>
  <c r="AP77" i="29"/>
  <c r="AW77" i="29"/>
  <c r="AO77" i="29"/>
  <c r="BD77" i="29"/>
  <c r="AV77" i="29"/>
  <c r="AN77" i="29"/>
  <c r="BC77" i="29"/>
  <c r="AU77" i="29"/>
  <c r="AM77" i="29"/>
  <c r="BA77" i="29"/>
  <c r="AS77" i="29"/>
  <c r="AK77" i="29"/>
  <c r="BB77" i="29"/>
  <c r="AT77" i="29"/>
  <c r="AL77" i="29"/>
  <c r="AZ85" i="29"/>
  <c r="AR85" i="29"/>
  <c r="AJ85" i="29"/>
  <c r="AY85" i="29"/>
  <c r="AQ85" i="29"/>
  <c r="AI85" i="29"/>
  <c r="AX85" i="29"/>
  <c r="AP85" i="29"/>
  <c r="AW85" i="29"/>
  <c r="AO85" i="29"/>
  <c r="BD85" i="29"/>
  <c r="AV85" i="29"/>
  <c r="AN85" i="29"/>
  <c r="BB85" i="29"/>
  <c r="AT85" i="29"/>
  <c r="AL85" i="29"/>
  <c r="BA85" i="29"/>
  <c r="AU85" i="29"/>
  <c r="AS85" i="29"/>
  <c r="AM85" i="29"/>
  <c r="AK85" i="29"/>
  <c r="BC85" i="29"/>
  <c r="AX93" i="29"/>
  <c r="AP93" i="29"/>
  <c r="AW93" i="29"/>
  <c r="AO93" i="29"/>
  <c r="BD93" i="29"/>
  <c r="AV93" i="29"/>
  <c r="AN93" i="29"/>
  <c r="BC93" i="29"/>
  <c r="AU93" i="29"/>
  <c r="AM93" i="29"/>
  <c r="BB93" i="29"/>
  <c r="AT93" i="29"/>
  <c r="AL93" i="29"/>
  <c r="BA93" i="29"/>
  <c r="AS93" i="29"/>
  <c r="AK93" i="29"/>
  <c r="AY93" i="29"/>
  <c r="AQ93" i="29"/>
  <c r="AI93" i="29"/>
  <c r="AZ93" i="29"/>
  <c r="AR93" i="29"/>
  <c r="AJ93" i="29"/>
  <c r="AX101" i="29"/>
  <c r="AP101" i="29"/>
  <c r="AW101" i="29"/>
  <c r="AO101" i="29"/>
  <c r="BD101" i="29"/>
  <c r="AV101" i="29"/>
  <c r="AN101" i="29"/>
  <c r="BC101" i="29"/>
  <c r="AU101" i="29"/>
  <c r="AM101" i="29"/>
  <c r="BB101" i="29"/>
  <c r="AT101" i="29"/>
  <c r="AL101" i="29"/>
  <c r="BA101" i="29"/>
  <c r="AS101" i="29"/>
  <c r="AK101" i="29"/>
  <c r="AY101" i="29"/>
  <c r="AQ101" i="29"/>
  <c r="AI101" i="29"/>
  <c r="AJ101" i="29"/>
  <c r="AZ101" i="29"/>
  <c r="AR101" i="29"/>
  <c r="AW59" i="29"/>
  <c r="AS62" i="29"/>
  <c r="AO65" i="29"/>
  <c r="AT69" i="29"/>
  <c r="AP72" i="29"/>
  <c r="AH51" i="30"/>
  <c r="Z51" i="30"/>
  <c r="AG51" i="30"/>
  <c r="Y51" i="30"/>
  <c r="AF51" i="30"/>
  <c r="X51" i="30"/>
  <c r="AD51" i="30"/>
  <c r="AC51" i="30"/>
  <c r="AA51" i="30"/>
  <c r="AE51" i="30"/>
  <c r="AB51" i="30"/>
  <c r="AH67" i="30"/>
  <c r="Z67" i="30"/>
  <c r="AG67" i="30"/>
  <c r="Y67" i="30"/>
  <c r="AF67" i="30"/>
  <c r="X67" i="30"/>
  <c r="AD67" i="30"/>
  <c r="AC67" i="30"/>
  <c r="AA67" i="30"/>
  <c r="AE67" i="30"/>
  <c r="AB67" i="30"/>
  <c r="AG75" i="30"/>
  <c r="Y75" i="30"/>
  <c r="AC75" i="30"/>
  <c r="Z75" i="30"/>
  <c r="X75" i="30"/>
  <c r="AH75" i="30"/>
  <c r="AE75" i="30"/>
  <c r="AD75" i="30"/>
  <c r="AA75" i="30"/>
  <c r="AB75" i="30"/>
  <c r="AF75" i="30"/>
  <c r="AA83" i="30"/>
  <c r="AH83" i="30"/>
  <c r="Z83" i="30"/>
  <c r="AG83" i="30"/>
  <c r="Y83" i="30"/>
  <c r="AC83" i="30"/>
  <c r="AF83" i="30"/>
  <c r="AE83" i="30"/>
  <c r="AD83" i="30"/>
  <c r="AB83" i="30"/>
  <c r="X83" i="30"/>
  <c r="AF50" i="30"/>
  <c r="X50" i="30"/>
  <c r="AE50" i="30"/>
  <c r="AD50" i="30"/>
  <c r="AB50" i="30"/>
  <c r="AA50" i="30"/>
  <c r="AG50" i="30"/>
  <c r="Y50" i="30"/>
  <c r="AF58" i="30"/>
  <c r="X58" i="30"/>
  <c r="AE58" i="30"/>
  <c r="AD58" i="30"/>
  <c r="AB58" i="30"/>
  <c r="AA58" i="30"/>
  <c r="AG58" i="30"/>
  <c r="Y58" i="30"/>
  <c r="AF66" i="30"/>
  <c r="X66" i="30"/>
  <c r="AE66" i="30"/>
  <c r="AD66" i="30"/>
  <c r="AB66" i="30"/>
  <c r="AA66" i="30"/>
  <c r="AG66" i="30"/>
  <c r="Y66" i="30"/>
  <c r="AE74" i="30"/>
  <c r="AA74" i="30"/>
  <c r="Z74" i="30"/>
  <c r="Y74" i="30"/>
  <c r="AH74" i="30"/>
  <c r="X74" i="30"/>
  <c r="AF74" i="30"/>
  <c r="AD74" i="30"/>
  <c r="AB74" i="30"/>
  <c r="AG82" i="30"/>
  <c r="Y82" i="30"/>
  <c r="AF82" i="30"/>
  <c r="X82" i="30"/>
  <c r="AE82" i="30"/>
  <c r="AA82" i="30"/>
  <c r="AH82" i="30"/>
  <c r="AD82" i="30"/>
  <c r="AC82" i="30"/>
  <c r="Z82" i="30"/>
  <c r="AE48" i="30"/>
  <c r="Y49" i="30"/>
  <c r="AE55" i="30"/>
  <c r="AC58" i="30"/>
  <c r="Y64" i="30"/>
  <c r="AH73" i="30"/>
  <c r="AB82" i="30"/>
  <c r="AB52" i="30"/>
  <c r="AA52" i="30"/>
  <c r="AH52" i="30"/>
  <c r="Z52" i="30"/>
  <c r="AF52" i="30"/>
  <c r="X52" i="30"/>
  <c r="AE52" i="30"/>
  <c r="AC52" i="30"/>
  <c r="AB60" i="30"/>
  <c r="AA60" i="30"/>
  <c r="AH60" i="30"/>
  <c r="Z60" i="30"/>
  <c r="AF60" i="30"/>
  <c r="X60" i="30"/>
  <c r="AE60" i="30"/>
  <c r="AC60" i="30"/>
  <c r="AA76" i="30"/>
  <c r="AE76" i="30"/>
  <c r="Y76" i="30"/>
  <c r="AH76" i="30"/>
  <c r="X76" i="30"/>
  <c r="AG76" i="30"/>
  <c r="AD76" i="30"/>
  <c r="AC76" i="30"/>
  <c r="Z76" i="30"/>
  <c r="AC84" i="30"/>
  <c r="AB84" i="30"/>
  <c r="AA84" i="30"/>
  <c r="AE84" i="30"/>
  <c r="Z84" i="30"/>
  <c r="Y84" i="30"/>
  <c r="X84" i="30"/>
  <c r="AH84" i="30"/>
  <c r="AG84" i="30"/>
  <c r="AD84" i="30"/>
  <c r="Y48" i="30"/>
  <c r="AG48" i="30"/>
  <c r="AA49" i="30"/>
  <c r="AC54" i="30"/>
  <c r="AA57" i="30"/>
  <c r="Y60" i="30"/>
  <c r="AG64" i="30"/>
  <c r="AC70" i="30"/>
  <c r="X72" i="30"/>
  <c r="AD53" i="30"/>
  <c r="AC53" i="30"/>
  <c r="AB53" i="30"/>
  <c r="AH53" i="30"/>
  <c r="Z53" i="30"/>
  <c r="AG53" i="30"/>
  <c r="Y53" i="30"/>
  <c r="AE53" i="30"/>
  <c r="AD61" i="30"/>
  <c r="AC61" i="30"/>
  <c r="AB61" i="30"/>
  <c r="AH61" i="30"/>
  <c r="Z61" i="30"/>
  <c r="AG61" i="30"/>
  <c r="Y61" i="30"/>
  <c r="AE61" i="30"/>
  <c r="AD69" i="30"/>
  <c r="AC69" i="30"/>
  <c r="AB69" i="30"/>
  <c r="AH69" i="30"/>
  <c r="Z69" i="30"/>
  <c r="AG69" i="30"/>
  <c r="Y69" i="30"/>
  <c r="AE69" i="30"/>
  <c r="AC77" i="30"/>
  <c r="AG77" i="30"/>
  <c r="Y77" i="30"/>
  <c r="X77" i="30"/>
  <c r="AH77" i="30"/>
  <c r="AF77" i="30"/>
  <c r="AD77" i="30"/>
  <c r="AB77" i="30"/>
  <c r="Z77" i="30"/>
  <c r="AE85" i="30"/>
  <c r="AD85" i="30"/>
  <c r="AC85" i="30"/>
  <c r="AA85" i="30"/>
  <c r="AG85" i="30"/>
  <c r="Y85" i="30"/>
  <c r="X85" i="30"/>
  <c r="AH85" i="30"/>
  <c r="AF85" i="30"/>
  <c r="Z85" i="30"/>
  <c r="Z48" i="30"/>
  <c r="AH48" i="30"/>
  <c r="AB49" i="30"/>
  <c r="Z50" i="30"/>
  <c r="X53" i="30"/>
  <c r="AD60" i="30"/>
  <c r="AB63" i="30"/>
  <c r="Z66" i="30"/>
  <c r="X69" i="30"/>
  <c r="AD72" i="30"/>
  <c r="AC74" i="30"/>
  <c r="AB76" i="30"/>
  <c r="AF84" i="30"/>
  <c r="AF54" i="30"/>
  <c r="X54" i="30"/>
  <c r="AE54" i="30"/>
  <c r="AD54" i="30"/>
  <c r="AB54" i="30"/>
  <c r="AA54" i="30"/>
  <c r="AG54" i="30"/>
  <c r="Y54" i="30"/>
  <c r="AF62" i="30"/>
  <c r="X62" i="30"/>
  <c r="AE62" i="30"/>
  <c r="AD62" i="30"/>
  <c r="AB62" i="30"/>
  <c r="AA62" i="30"/>
  <c r="AG62" i="30"/>
  <c r="Y62" i="30"/>
  <c r="AF70" i="30"/>
  <c r="X70" i="30"/>
  <c r="AE70" i="30"/>
  <c r="AD70" i="30"/>
  <c r="AB70" i="30"/>
  <c r="AA70" i="30"/>
  <c r="AG70" i="30"/>
  <c r="Y70" i="30"/>
  <c r="AE78" i="30"/>
  <c r="AA78" i="30"/>
  <c r="AH78" i="30"/>
  <c r="X78" i="30"/>
  <c r="AG78" i="30"/>
  <c r="AF78" i="30"/>
  <c r="AD78" i="30"/>
  <c r="AC78" i="30"/>
  <c r="AB78" i="30"/>
  <c r="Y78" i="30"/>
  <c r="AA48" i="30"/>
  <c r="E8" i="32" s="1"/>
  <c r="AC49" i="30"/>
  <c r="AC50" i="30"/>
  <c r="AA53" i="30"/>
  <c r="Y56" i="30"/>
  <c r="AG60" i="30"/>
  <c r="AC66" i="30"/>
  <c r="AA69" i="30"/>
  <c r="AG74" i="30"/>
  <c r="AF76" i="30"/>
  <c r="AB85" i="30"/>
  <c r="AH55" i="30"/>
  <c r="Z55" i="30"/>
  <c r="AG55" i="30"/>
  <c r="Y55" i="30"/>
  <c r="AF55" i="30"/>
  <c r="X55" i="30"/>
  <c r="AD55" i="30"/>
  <c r="AC55" i="30"/>
  <c r="AA55" i="30"/>
  <c r="AH63" i="30"/>
  <c r="Z63" i="30"/>
  <c r="AG63" i="30"/>
  <c r="Y63" i="30"/>
  <c r="AF63" i="30"/>
  <c r="X63" i="30"/>
  <c r="AD63" i="30"/>
  <c r="AC63" i="30"/>
  <c r="AA63" i="30"/>
  <c r="AG71" i="30"/>
  <c r="Y71" i="30"/>
  <c r="AC71" i="30"/>
  <c r="AB71" i="30"/>
  <c r="AA71" i="30"/>
  <c r="Z71" i="30"/>
  <c r="AH71" i="30"/>
  <c r="AF71" i="30"/>
  <c r="AD71" i="30"/>
  <c r="AA79" i="30"/>
  <c r="AH79" i="30"/>
  <c r="Z79" i="30"/>
  <c r="AG79" i="30"/>
  <c r="Y79" i="30"/>
  <c r="AC79" i="30"/>
  <c r="X79" i="30"/>
  <c r="AF79" i="30"/>
  <c r="AE79" i="30"/>
  <c r="AB79" i="30"/>
  <c r="AB48" i="30"/>
  <c r="AD49" i="30"/>
  <c r="AH50" i="30"/>
  <c r="AF53" i="30"/>
  <c r="Z62" i="30"/>
  <c r="X65" i="30"/>
  <c r="AH66" i="30"/>
  <c r="AF69" i="30"/>
  <c r="AB56" i="30"/>
  <c r="AA56" i="30"/>
  <c r="AH56" i="30"/>
  <c r="Z56" i="30"/>
  <c r="AF56" i="30"/>
  <c r="X56" i="30"/>
  <c r="AE56" i="30"/>
  <c r="AC56" i="30"/>
  <c r="AB64" i="30"/>
  <c r="AA64" i="30"/>
  <c r="AH64" i="30"/>
  <c r="Z64" i="30"/>
  <c r="AF64" i="30"/>
  <c r="X64" i="30"/>
  <c r="AE64" i="30"/>
  <c r="AC64" i="30"/>
  <c r="AA72" i="30"/>
  <c r="AE72" i="30"/>
  <c r="AB72" i="30"/>
  <c r="Z72" i="30"/>
  <c r="Y72" i="30"/>
  <c r="AG72" i="30"/>
  <c r="AF72" i="30"/>
  <c r="AC72" i="30"/>
  <c r="AC48" i="30"/>
  <c r="Y52" i="30"/>
  <c r="AG56" i="30"/>
  <c r="AC62" i="30"/>
  <c r="X71" i="30"/>
  <c r="AH49" i="30"/>
  <c r="L8" i="32" s="1"/>
  <c r="AG49" i="30"/>
  <c r="AD57" i="30"/>
  <c r="AC57" i="30"/>
  <c r="AB57" i="30"/>
  <c r="AH57" i="30"/>
  <c r="Z57" i="30"/>
  <c r="AG57" i="30"/>
  <c r="Y57" i="30"/>
  <c r="AE57" i="30"/>
  <c r="AD65" i="30"/>
  <c r="AC65" i="30"/>
  <c r="AB65" i="30"/>
  <c r="AH65" i="30"/>
  <c r="Z65" i="30"/>
  <c r="AG65" i="30"/>
  <c r="Y65" i="30"/>
  <c r="AE65" i="30"/>
  <c r="AC73" i="30"/>
  <c r="AG73" i="30"/>
  <c r="Y73" i="30"/>
  <c r="AA73" i="30"/>
  <c r="Z73" i="30"/>
  <c r="X73" i="30"/>
  <c r="AF73" i="30"/>
  <c r="AE73" i="30"/>
  <c r="AB73" i="30"/>
  <c r="AE81" i="30"/>
  <c r="AD81" i="30"/>
  <c r="AC81" i="30"/>
  <c r="AG81" i="30"/>
  <c r="Y81" i="30"/>
  <c r="AB81" i="30"/>
  <c r="AA81" i="30"/>
  <c r="Z81" i="30"/>
  <c r="X81" i="30"/>
  <c r="AF81" i="30"/>
  <c r="X49" i="30"/>
  <c r="AF49" i="30"/>
  <c r="AD52" i="30"/>
  <c r="AB55" i="30"/>
  <c r="Z58" i="30"/>
  <c r="X61" i="30"/>
  <c r="AH62" i="30"/>
  <c r="AF65" i="30"/>
  <c r="AE71" i="30"/>
  <c r="AD73" i="30"/>
  <c r="AA77" i="30"/>
  <c r="AH81" i="30"/>
  <c r="F8" i="32"/>
  <c r="C8" i="32"/>
  <c r="K8" i="32"/>
  <c r="Z4" i="27"/>
  <c r="AH4" i="27" s="1"/>
  <c r="AJ13" i="27"/>
  <c r="Z3" i="27"/>
  <c r="AH3" i="27" s="1"/>
  <c r="Z5" i="27"/>
  <c r="AH5" i="27" s="1"/>
  <c r="Z8" i="27"/>
  <c r="AH8" i="27" s="1"/>
  <c r="Z6" i="27"/>
  <c r="AH6" i="27" s="1"/>
  <c r="AJ3" i="27"/>
  <c r="AJ5" i="27"/>
  <c r="AJ8" i="27"/>
  <c r="Z13" i="27"/>
  <c r="AH13" i="27" s="1"/>
  <c r="AJ4" i="27"/>
  <c r="U9" i="27"/>
  <c r="AI9" i="27" s="1"/>
  <c r="U10" i="27"/>
  <c r="AI10" i="27" s="1"/>
  <c r="R9" i="27"/>
  <c r="R11" i="27"/>
  <c r="AI5" i="27"/>
  <c r="X5" i="27"/>
  <c r="AF5" i="27" s="1"/>
  <c r="X3" i="27"/>
  <c r="AF3" i="27" s="1"/>
  <c r="M289" i="27"/>
  <c r="U12" i="27" s="1"/>
  <c r="AI12" i="27" s="1"/>
  <c r="R12" i="27"/>
  <c r="Y3" i="27"/>
  <c r="AG3" i="27" s="1"/>
  <c r="M252" i="27"/>
  <c r="U11" i="27" s="1"/>
  <c r="AI11" i="27" s="1"/>
  <c r="X13" i="27"/>
  <c r="AF13" i="27" s="1"/>
  <c r="D30" i="5"/>
  <c r="AG58" i="6"/>
  <c r="E28" i="5"/>
  <c r="AL55" i="9" s="1"/>
  <c r="AJ57" i="6"/>
  <c r="AI5" i="17"/>
  <c r="AT5" i="16"/>
  <c r="AT8" i="16" s="1"/>
  <c r="AO8" i="16"/>
  <c r="AO9" i="16" s="1"/>
  <c r="AJ2" i="16"/>
  <c r="AJ7" i="16" s="1"/>
  <c r="AC133" i="17"/>
  <c r="AC141" i="17"/>
  <c r="AC149" i="17"/>
  <c r="AC2" i="17"/>
  <c r="AC4" i="17"/>
  <c r="AC6" i="17"/>
  <c r="AC8" i="17"/>
  <c r="AC10" i="17"/>
  <c r="AC12" i="17"/>
  <c r="AC14" i="17"/>
  <c r="AC16" i="17"/>
  <c r="AC18" i="17"/>
  <c r="AC20" i="17"/>
  <c r="AC22" i="17"/>
  <c r="AC24" i="17"/>
  <c r="AC26" i="17"/>
  <c r="AC28" i="17"/>
  <c r="AC30" i="17"/>
  <c r="AC32" i="17"/>
  <c r="AC34" i="17"/>
  <c r="AC36" i="17"/>
  <c r="AC74" i="17"/>
  <c r="AC82" i="17"/>
  <c r="AC90" i="17"/>
  <c r="AC98" i="17"/>
  <c r="AC106" i="17"/>
  <c r="AC114" i="17"/>
  <c r="AC122" i="17"/>
  <c r="AC130" i="17"/>
  <c r="AC138" i="17"/>
  <c r="AC146" i="17"/>
  <c r="AC154" i="17"/>
  <c r="AJ8" i="16"/>
  <c r="AT7" i="16"/>
  <c r="AC128" i="17"/>
  <c r="AC79" i="17"/>
  <c r="AC87" i="17"/>
  <c r="AC95" i="17"/>
  <c r="AC103" i="17"/>
  <c r="AC111" i="17"/>
  <c r="AC119" i="17"/>
  <c r="AC127" i="17"/>
  <c r="AC135" i="17"/>
  <c r="AC143" i="17"/>
  <c r="AC151" i="17"/>
  <c r="AC112" i="17"/>
  <c r="AC76" i="17"/>
  <c r="AC84" i="17"/>
  <c r="AC92" i="17"/>
  <c r="AC100" i="17"/>
  <c r="AC108" i="17"/>
  <c r="AC116" i="17"/>
  <c r="AC124" i="17"/>
  <c r="AC132" i="17"/>
  <c r="AC140" i="17"/>
  <c r="AC148" i="17"/>
  <c r="AC156" i="17"/>
  <c r="AC129" i="17"/>
  <c r="AC137" i="17"/>
  <c r="AC145" i="17"/>
  <c r="AC153" i="17"/>
  <c r="AC120" i="17"/>
  <c r="AC78" i="17"/>
  <c r="AC86" i="17"/>
  <c r="AC94" i="17"/>
  <c r="AC102" i="17"/>
  <c r="AC110" i="17"/>
  <c r="AC118" i="17"/>
  <c r="AC126" i="17"/>
  <c r="AC134" i="17"/>
  <c r="AC142" i="17"/>
  <c r="AC150" i="17"/>
  <c r="AC75" i="17"/>
  <c r="AC83" i="17"/>
  <c r="AC91" i="17"/>
  <c r="AC99" i="17"/>
  <c r="AC107" i="17"/>
  <c r="AC115" i="17"/>
  <c r="AC123" i="17"/>
  <c r="AC131" i="17"/>
  <c r="AC139" i="17"/>
  <c r="AC147" i="17"/>
  <c r="AC155" i="17"/>
  <c r="AH56" i="9"/>
  <c r="F28" i="5"/>
  <c r="AH56" i="8"/>
  <c r="AH58" i="6"/>
  <c r="AH56" i="7"/>
  <c r="Z46" i="13"/>
  <c r="Z46" i="12"/>
  <c r="Z46" i="11"/>
  <c r="Z46" i="10"/>
  <c r="E45" i="5"/>
  <c r="AD54" i="8"/>
  <c r="AD54" i="9"/>
  <c r="AD54" i="7"/>
  <c r="W47" i="13"/>
  <c r="W47" i="12"/>
  <c r="W47" i="11"/>
  <c r="W47" i="10"/>
  <c r="AI54" i="8"/>
  <c r="AI58" i="8" s="1"/>
  <c r="AI54" i="9"/>
  <c r="AI54" i="7"/>
  <c r="O55" i="6"/>
  <c r="O60" i="6" s="1"/>
  <c r="O37" i="7" s="1"/>
  <c r="U56" i="9"/>
  <c r="U56" i="8"/>
  <c r="F18" i="5"/>
  <c r="U56" i="7"/>
  <c r="U58" i="6"/>
  <c r="AD56" i="9"/>
  <c r="AD56" i="8"/>
  <c r="AD56" i="7"/>
  <c r="AD58" i="6"/>
  <c r="AH54" i="8"/>
  <c r="AH54" i="9"/>
  <c r="AH54" i="7"/>
  <c r="AG54" i="8"/>
  <c r="AG54" i="9"/>
  <c r="AG54" i="7"/>
  <c r="AB54" i="8"/>
  <c r="AB54" i="9"/>
  <c r="AB54" i="7"/>
  <c r="AJ54" i="8"/>
  <c r="AJ58" i="8" s="1"/>
  <c r="AJ54" i="9"/>
  <c r="AJ54" i="7"/>
  <c r="AL54" i="8"/>
  <c r="AL54" i="9"/>
  <c r="AL54" i="7"/>
  <c r="W54" i="8"/>
  <c r="W58" i="8" s="1"/>
  <c r="W54" i="9"/>
  <c r="W54" i="7"/>
  <c r="U54" i="8"/>
  <c r="U58" i="8" s="1"/>
  <c r="U54" i="9"/>
  <c r="U54" i="7"/>
  <c r="Z54" i="8"/>
  <c r="Z58" i="8" s="1"/>
  <c r="Z48" i="9" s="1"/>
  <c r="Z54" i="9"/>
  <c r="Z54" i="7"/>
  <c r="Y45" i="13"/>
  <c r="Y45" i="12"/>
  <c r="Y45" i="10"/>
  <c r="Y45" i="11"/>
  <c r="V56" i="9"/>
  <c r="V56" i="8"/>
  <c r="Z47" i="13"/>
  <c r="Z47" i="12"/>
  <c r="Z47" i="10"/>
  <c r="Z47" i="11"/>
  <c r="O54" i="8"/>
  <c r="O58" i="8" s="1"/>
  <c r="O54" i="9"/>
  <c r="O54" i="7"/>
  <c r="AJ58" i="6"/>
  <c r="AA54" i="8"/>
  <c r="AA58" i="8" s="1"/>
  <c r="AA45" i="9" s="1"/>
  <c r="AA54" i="9"/>
  <c r="AA54" i="7"/>
  <c r="Z56" i="8"/>
  <c r="X54" i="8"/>
  <c r="X58" i="8" s="1"/>
  <c r="X54" i="9"/>
  <c r="AG56" i="9"/>
  <c r="AG56" i="8"/>
  <c r="Y47" i="13"/>
  <c r="Y47" i="12"/>
  <c r="Y47" i="11"/>
  <c r="Y47" i="10"/>
  <c r="AI55" i="9"/>
  <c r="AI55" i="8"/>
  <c r="L54" i="8"/>
  <c r="L58" i="8" s="1"/>
  <c r="L54" i="9"/>
  <c r="L54" i="7"/>
  <c r="R54" i="8"/>
  <c r="R58" i="8" s="1"/>
  <c r="R54" i="9"/>
  <c r="R54" i="7"/>
  <c r="AE54" i="8"/>
  <c r="AE54" i="9"/>
  <c r="AE54" i="7"/>
  <c r="AH57" i="6"/>
  <c r="AK54" i="8"/>
  <c r="AK58" i="8" s="1"/>
  <c r="AK54" i="9"/>
  <c r="AK54" i="7"/>
  <c r="AD55" i="7"/>
  <c r="AL55" i="7"/>
  <c r="Z56" i="7"/>
  <c r="X54" i="7"/>
  <c r="AA45" i="13"/>
  <c r="AA45" i="12"/>
  <c r="AA45" i="11"/>
  <c r="AA45" i="10"/>
  <c r="AA56" i="9"/>
  <c r="AA56" i="8"/>
  <c r="AI56" i="9"/>
  <c r="AI56" i="8"/>
  <c r="AI55" i="6"/>
  <c r="AI60" i="6" s="1"/>
  <c r="AI34" i="7" s="1"/>
  <c r="AA56" i="7"/>
  <c r="AI56" i="7"/>
  <c r="AD55" i="8"/>
  <c r="AB55" i="9"/>
  <c r="AB55" i="8"/>
  <c r="U47" i="12"/>
  <c r="U47" i="13"/>
  <c r="U47" i="10"/>
  <c r="U47" i="11"/>
  <c r="M22" i="6"/>
  <c r="P54" i="8"/>
  <c r="P58" i="8" s="1"/>
  <c r="P54" i="9"/>
  <c r="V58" i="6"/>
  <c r="AC54" i="8"/>
  <c r="AC58" i="8" s="1"/>
  <c r="AC54" i="9"/>
  <c r="AC54" i="7"/>
  <c r="AF54" i="8"/>
  <c r="AF54" i="9"/>
  <c r="M13" i="6"/>
  <c r="M25" i="6"/>
  <c r="M54" i="8"/>
  <c r="M58" i="8" s="1"/>
  <c r="M54" i="9"/>
  <c r="M54" i="7"/>
  <c r="S54" i="8"/>
  <c r="S54" i="9"/>
  <c r="S54" i="7"/>
  <c r="AI57" i="6"/>
  <c r="W45" i="12"/>
  <c r="W45" i="13"/>
  <c r="W45" i="11"/>
  <c r="W45" i="10"/>
  <c r="R45" i="13"/>
  <c r="R45" i="12"/>
  <c r="R45" i="11"/>
  <c r="R45" i="10"/>
  <c r="AJ56" i="9"/>
  <c r="AJ56" i="8"/>
  <c r="Z58" i="6"/>
  <c r="AI58" i="6"/>
  <c r="AL57" i="6"/>
  <c r="V56" i="7"/>
  <c r="AL55" i="8"/>
  <c r="AA47" i="12"/>
  <c r="AA47" i="13"/>
  <c r="AA47" i="10"/>
  <c r="AA47" i="11"/>
  <c r="AJ55" i="9"/>
  <c r="AJ55" i="8"/>
  <c r="W46" i="13"/>
  <c r="W46" i="11"/>
  <c r="W46" i="12"/>
  <c r="W46" i="10"/>
  <c r="AH55" i="9"/>
  <c r="AH55" i="8"/>
  <c r="Z45" i="13"/>
  <c r="Z45" i="12"/>
  <c r="Z49" i="12" s="1"/>
  <c r="Z45" i="11"/>
  <c r="Z49" i="11" s="1"/>
  <c r="Z45" i="10"/>
  <c r="Q54" i="8"/>
  <c r="Q58" i="8" s="1"/>
  <c r="Q54" i="9"/>
  <c r="Q54" i="7"/>
  <c r="AI55" i="7"/>
  <c r="AA44" i="9"/>
  <c r="AA49" i="9"/>
  <c r="AA37" i="9"/>
  <c r="AA34" i="9"/>
  <c r="AA35" i="9"/>
  <c r="AA36" i="9"/>
  <c r="AA24" i="9"/>
  <c r="AA15" i="9"/>
  <c r="AA12" i="9"/>
  <c r="AA19" i="9"/>
  <c r="AA20" i="9"/>
  <c r="AA6" i="9"/>
  <c r="AA21" i="9"/>
  <c r="Z51" i="9"/>
  <c r="Z47" i="9"/>
  <c r="Z43" i="9"/>
  <c r="Z39" i="9"/>
  <c r="Z35" i="9"/>
  <c r="Z31" i="9"/>
  <c r="Z44" i="9"/>
  <c r="Z40" i="9"/>
  <c r="Z36" i="9"/>
  <c r="Z32" i="9"/>
  <c r="Z49" i="9"/>
  <c r="Z45" i="9"/>
  <c r="Z41" i="9"/>
  <c r="Z50" i="9"/>
  <c r="Z46" i="9"/>
  <c r="Z42" i="9"/>
  <c r="Z38" i="9"/>
  <c r="Z34" i="9"/>
  <c r="Z33" i="9"/>
  <c r="Z30" i="9"/>
  <c r="Z22" i="9"/>
  <c r="Z18" i="9"/>
  <c r="Z14" i="9"/>
  <c r="Z27" i="9"/>
  <c r="Z23" i="9"/>
  <c r="Z19" i="9"/>
  <c r="Z21" i="9"/>
  <c r="Z15" i="9"/>
  <c r="Z12" i="9"/>
  <c r="Z8" i="9"/>
  <c r="Z29" i="9"/>
  <c r="Z28" i="9"/>
  <c r="Z9" i="9"/>
  <c r="Z5" i="9"/>
  <c r="Z20" i="9"/>
  <c r="Z17" i="9"/>
  <c r="Z10" i="9"/>
  <c r="Z6" i="9"/>
  <c r="Z13" i="9"/>
  <c r="Z16" i="9"/>
  <c r="Z11" i="9"/>
  <c r="M66" i="6"/>
  <c r="M68" i="6"/>
  <c r="M63" i="6"/>
  <c r="M43" i="6"/>
  <c r="M14" i="6"/>
  <c r="M26" i="6"/>
  <c r="M30" i="6"/>
  <c r="M34" i="6"/>
  <c r="M38" i="6"/>
  <c r="M42" i="6"/>
  <c r="M46" i="6"/>
  <c r="M50" i="6"/>
  <c r="R55" i="6"/>
  <c r="R60" i="6" s="1"/>
  <c r="Y55" i="6"/>
  <c r="M27" i="6"/>
  <c r="L55" i="6"/>
  <c r="L60" i="6" s="1"/>
  <c r="L7" i="7" s="1"/>
  <c r="V55" i="6"/>
  <c r="AF55" i="6"/>
  <c r="AF60" i="6" s="1"/>
  <c r="AH55" i="6"/>
  <c r="AH60" i="6" s="1"/>
  <c r="M51" i="6"/>
  <c r="M7" i="6"/>
  <c r="M17" i="6"/>
  <c r="M23" i="6"/>
  <c r="Q55" i="6"/>
  <c r="Q60" i="6" s="1"/>
  <c r="X55" i="6"/>
  <c r="X60" i="6" s="1"/>
  <c r="M39" i="6"/>
  <c r="M8" i="6"/>
  <c r="M18" i="6"/>
  <c r="M28" i="6"/>
  <c r="M32" i="6"/>
  <c r="M36" i="6"/>
  <c r="M40" i="6"/>
  <c r="M44" i="6"/>
  <c r="M48" i="6"/>
  <c r="Z55" i="6"/>
  <c r="M47" i="6"/>
  <c r="M11" i="6"/>
  <c r="M19" i="6"/>
  <c r="M24" i="6"/>
  <c r="S55" i="6"/>
  <c r="S60" i="6" s="1"/>
  <c r="S31" i="7" s="1"/>
  <c r="U55" i="6"/>
  <c r="U60" i="6" s="1"/>
  <c r="AC55" i="6"/>
  <c r="AC60" i="6" s="1"/>
  <c r="AE55" i="6"/>
  <c r="AE60" i="6" s="1"/>
  <c r="M35" i="6"/>
  <c r="M12" i="6"/>
  <c r="M20" i="6"/>
  <c r="M29" i="6"/>
  <c r="M33" i="6"/>
  <c r="M37" i="6"/>
  <c r="M41" i="6"/>
  <c r="M45" i="6"/>
  <c r="M49" i="6"/>
  <c r="P55" i="6"/>
  <c r="P60" i="6" s="1"/>
  <c r="W55" i="6"/>
  <c r="W60" i="6" s="1"/>
  <c r="M31" i="6"/>
  <c r="M21" i="6"/>
  <c r="AA55" i="6"/>
  <c r="D37" i="5"/>
  <c r="AF53" i="7" l="1"/>
  <c r="AE53" i="7"/>
  <c r="AA53" i="7"/>
  <c r="AA58" i="7" s="1"/>
  <c r="Z53" i="7"/>
  <c r="Z58" i="7" s="1"/>
  <c r="AG53" i="7"/>
  <c r="AS61" i="29"/>
  <c r="AX61" i="29"/>
  <c r="Q8" i="31" s="1"/>
  <c r="BC61" i="29"/>
  <c r="V8" i="31" s="1"/>
  <c r="AK61" i="29"/>
  <c r="AP61" i="29"/>
  <c r="AU61" i="29"/>
  <c r="AZ61" i="29"/>
  <c r="BD61" i="29"/>
  <c r="AM61" i="29"/>
  <c r="AR61" i="29"/>
  <c r="AV61" i="29"/>
  <c r="BB61" i="29"/>
  <c r="U8" i="31" s="1"/>
  <c r="AJ61" i="29"/>
  <c r="AN61" i="29"/>
  <c r="AT61" i="29"/>
  <c r="AY61" i="29"/>
  <c r="AL61" i="29"/>
  <c r="E8" i="31" s="1"/>
  <c r="AQ61" i="29"/>
  <c r="AW61" i="29"/>
  <c r="P8" i="31" s="1"/>
  <c r="BA61" i="29"/>
  <c r="AI61" i="29"/>
  <c r="AD59" i="30"/>
  <c r="AC59" i="30"/>
  <c r="AH59" i="30"/>
  <c r="AA59" i="30"/>
  <c r="Z59" i="30"/>
  <c r="AE59" i="30"/>
  <c r="AG59" i="30"/>
  <c r="AB59" i="30"/>
  <c r="Y59" i="30"/>
  <c r="AF59" i="30"/>
  <c r="X59" i="30"/>
  <c r="X80" i="30"/>
  <c r="AA80" i="30"/>
  <c r="AE80" i="30"/>
  <c r="AH80" i="30"/>
  <c r="AG80" i="30"/>
  <c r="AF80" i="30"/>
  <c r="AD80" i="30"/>
  <c r="AC80" i="30"/>
  <c r="Z80" i="30"/>
  <c r="AB80" i="30"/>
  <c r="Y80" i="30"/>
  <c r="AG68" i="30"/>
  <c r="AB68" i="30"/>
  <c r="AA68" i="30"/>
  <c r="AH68" i="30"/>
  <c r="Z68" i="30"/>
  <c r="AD68" i="30"/>
  <c r="AF68" i="30"/>
  <c r="Y68" i="30"/>
  <c r="X68" i="30"/>
  <c r="AE68" i="30"/>
  <c r="AC68" i="30"/>
  <c r="Z7" i="9"/>
  <c r="Z25" i="9"/>
  <c r="Z24" i="9"/>
  <c r="Z26" i="9"/>
  <c r="Z37" i="9"/>
  <c r="AA7" i="9"/>
  <c r="AA30" i="9"/>
  <c r="AA28" i="9"/>
  <c r="AA38" i="9"/>
  <c r="AA48" i="9"/>
  <c r="G8" i="32"/>
  <c r="I14" i="14"/>
  <c r="I37" i="11"/>
  <c r="I25" i="10"/>
  <c r="Y44" i="10" s="1"/>
  <c r="AA11" i="9"/>
  <c r="AA5" i="9"/>
  <c r="AA27" i="9"/>
  <c r="AA42" i="9"/>
  <c r="AA43" i="9"/>
  <c r="AA16" i="9"/>
  <c r="AA9" i="9"/>
  <c r="AA32" i="9"/>
  <c r="AA46" i="9"/>
  <c r="AA47" i="9"/>
  <c r="O31" i="7"/>
  <c r="AA13" i="9"/>
  <c r="AA8" i="9"/>
  <c r="AA31" i="9"/>
  <c r="AA50" i="9"/>
  <c r="I14" i="9"/>
  <c r="AA14" i="9"/>
  <c r="AA22" i="9"/>
  <c r="AA25" i="9"/>
  <c r="AA40" i="9"/>
  <c r="C8" i="31"/>
  <c r="X11" i="27"/>
  <c r="AF11" i="27" s="1"/>
  <c r="AI34" i="9"/>
  <c r="X9" i="27"/>
  <c r="AF9" i="27" s="1"/>
  <c r="AA10" i="9"/>
  <c r="AA18" i="9"/>
  <c r="AA39" i="9"/>
  <c r="AA29" i="9"/>
  <c r="AA41" i="9"/>
  <c r="AA51" i="9"/>
  <c r="AI2" i="17"/>
  <c r="AA17" i="9"/>
  <c r="AA26" i="9"/>
  <c r="AA23" i="9"/>
  <c r="AA33" i="9"/>
  <c r="O47" i="7"/>
  <c r="O31" i="9"/>
  <c r="AI6" i="17"/>
  <c r="AI8" i="17"/>
  <c r="F8" i="31"/>
  <c r="G8" i="31"/>
  <c r="H8" i="32"/>
  <c r="H10" i="32"/>
  <c r="H8" i="31"/>
  <c r="B8" i="31"/>
  <c r="K8" i="31"/>
  <c r="R8" i="31"/>
  <c r="I8" i="31"/>
  <c r="BA60" i="29"/>
  <c r="J8" i="31"/>
  <c r="M8" i="31"/>
  <c r="BB67" i="29"/>
  <c r="AL67" i="29"/>
  <c r="AH72" i="30"/>
  <c r="AD56" i="30"/>
  <c r="AA61" i="30"/>
  <c r="AF61" i="30"/>
  <c r="AD64" i="30"/>
  <c r="AE49" i="30"/>
  <c r="I8" i="32" s="1"/>
  <c r="Z49" i="30"/>
  <c r="D8" i="32" s="1"/>
  <c r="O8" i="31"/>
  <c r="M67" i="6"/>
  <c r="BA58" i="29"/>
  <c r="T8" i="31" s="1"/>
  <c r="AS58" i="29"/>
  <c r="AD48" i="30"/>
  <c r="AF48" i="30"/>
  <c r="J8" i="32" s="1"/>
  <c r="X48" i="30"/>
  <c r="AH70" i="30"/>
  <c r="Z70" i="30"/>
  <c r="D6" i="32" s="1"/>
  <c r="AF57" i="30"/>
  <c r="X57" i="30"/>
  <c r="S8" i="31"/>
  <c r="W8" i="31"/>
  <c r="AE63" i="30"/>
  <c r="N8" i="31"/>
  <c r="L8" i="31"/>
  <c r="AB44" i="10"/>
  <c r="AH54" i="30"/>
  <c r="L6" i="32" s="1"/>
  <c r="Z54" i="30"/>
  <c r="AO61" i="29"/>
  <c r="K6" i="32"/>
  <c r="K10" i="32"/>
  <c r="J6" i="31"/>
  <c r="J10" i="31"/>
  <c r="E10" i="31"/>
  <c r="E6" i="31"/>
  <c r="V6" i="31"/>
  <c r="V10" i="31"/>
  <c r="L10" i="32"/>
  <c r="I10" i="31"/>
  <c r="I6" i="31"/>
  <c r="L10" i="31"/>
  <c r="L6" i="31"/>
  <c r="C6" i="32"/>
  <c r="C10" i="32"/>
  <c r="R6" i="31"/>
  <c r="R10" i="31"/>
  <c r="U10" i="31"/>
  <c r="U6" i="31"/>
  <c r="E10" i="32"/>
  <c r="E6" i="32"/>
  <c r="D10" i="32"/>
  <c r="Q10" i="31"/>
  <c r="Q6" i="31"/>
  <c r="C6" i="31"/>
  <c r="C10" i="31"/>
  <c r="T10" i="31"/>
  <c r="D10" i="31"/>
  <c r="D6" i="31"/>
  <c r="D8" i="31"/>
  <c r="G6" i="31"/>
  <c r="G10" i="31"/>
  <c r="K6" i="31"/>
  <c r="K10" i="31"/>
  <c r="M10" i="31"/>
  <c r="M6" i="31"/>
  <c r="H10" i="31"/>
  <c r="H6" i="31"/>
  <c r="O6" i="31"/>
  <c r="O10" i="31"/>
  <c r="S6" i="31"/>
  <c r="S10" i="31"/>
  <c r="F6" i="31"/>
  <c r="F10" i="31"/>
  <c r="F10" i="32"/>
  <c r="F6" i="32"/>
  <c r="G6" i="32"/>
  <c r="G10" i="32"/>
  <c r="I10" i="32"/>
  <c r="I6" i="32"/>
  <c r="P10" i="31"/>
  <c r="P6" i="31"/>
  <c r="W6" i="31"/>
  <c r="W10" i="31"/>
  <c r="B6" i="31"/>
  <c r="B10" i="31"/>
  <c r="N6" i="31"/>
  <c r="N10" i="31"/>
  <c r="X12" i="27"/>
  <c r="AF12" i="27" s="1"/>
  <c r="X10" i="27"/>
  <c r="AF10" i="27" s="1"/>
  <c r="O47" i="9"/>
  <c r="AI33" i="7"/>
  <c r="AA53" i="9"/>
  <c r="AH58" i="8"/>
  <c r="D4" i="5"/>
  <c r="E30" i="5" s="1"/>
  <c r="AT9" i="16"/>
  <c r="AJ9" i="16"/>
  <c r="AI28" i="7"/>
  <c r="O38" i="7"/>
  <c r="O44" i="7"/>
  <c r="AI23" i="7"/>
  <c r="O29" i="7"/>
  <c r="O43" i="7"/>
  <c r="O41" i="7"/>
  <c r="AI21" i="7"/>
  <c r="O21" i="7"/>
  <c r="AI44" i="7"/>
  <c r="O42" i="7"/>
  <c r="L7" i="9"/>
  <c r="AA46" i="8"/>
  <c r="Z46" i="29" s="1"/>
  <c r="Z98" i="29" s="1"/>
  <c r="AA38" i="8"/>
  <c r="Z38" i="29" s="1"/>
  <c r="Z90" i="29" s="1"/>
  <c r="AA30" i="8"/>
  <c r="Z30" i="29" s="1"/>
  <c r="Z82" i="29" s="1"/>
  <c r="AA45" i="8"/>
  <c r="Z45" i="29" s="1"/>
  <c r="Z97" i="29" s="1"/>
  <c r="AA37" i="8"/>
  <c r="Z37" i="29" s="1"/>
  <c r="Z89" i="29" s="1"/>
  <c r="AA44" i="8"/>
  <c r="Z44" i="29" s="1"/>
  <c r="Z96" i="29" s="1"/>
  <c r="AA36" i="8"/>
  <c r="Z36" i="29" s="1"/>
  <c r="Z88" i="29" s="1"/>
  <c r="AA50" i="8"/>
  <c r="Z50" i="29" s="1"/>
  <c r="Z102" i="29" s="1"/>
  <c r="AA42" i="8"/>
  <c r="Z42" i="29" s="1"/>
  <c r="Z94" i="29" s="1"/>
  <c r="AA34" i="8"/>
  <c r="Z34" i="29" s="1"/>
  <c r="Z86" i="29" s="1"/>
  <c r="AA49" i="8"/>
  <c r="Z49" i="29" s="1"/>
  <c r="Z101" i="29" s="1"/>
  <c r="AA41" i="8"/>
  <c r="Z41" i="29" s="1"/>
  <c r="Z93" i="29" s="1"/>
  <c r="AA48" i="8"/>
  <c r="Z48" i="29" s="1"/>
  <c r="Z100" i="29" s="1"/>
  <c r="AA40" i="8"/>
  <c r="Z40" i="29" s="1"/>
  <c r="Z92" i="29" s="1"/>
  <c r="AA32" i="8"/>
  <c r="Z32" i="29" s="1"/>
  <c r="Z84" i="29" s="1"/>
  <c r="AA43" i="8"/>
  <c r="Z43" i="29" s="1"/>
  <c r="Z95" i="29" s="1"/>
  <c r="AA29" i="8"/>
  <c r="Z29" i="29" s="1"/>
  <c r="Z81" i="29" s="1"/>
  <c r="AA23" i="8"/>
  <c r="Z23" i="29" s="1"/>
  <c r="Z75" i="29" s="1"/>
  <c r="AA15" i="8"/>
  <c r="Z15" i="29" s="1"/>
  <c r="Z67" i="29" s="1"/>
  <c r="AA9" i="8"/>
  <c r="Z9" i="29" s="1"/>
  <c r="Z61" i="29" s="1"/>
  <c r="AA39" i="8"/>
  <c r="Z39" i="29" s="1"/>
  <c r="Z91" i="29" s="1"/>
  <c r="AA22" i="8"/>
  <c r="Z22" i="29" s="1"/>
  <c r="Z74" i="29" s="1"/>
  <c r="AA14" i="8"/>
  <c r="Z14" i="29" s="1"/>
  <c r="Z66" i="29" s="1"/>
  <c r="AA33" i="8"/>
  <c r="Z33" i="29" s="1"/>
  <c r="Z85" i="29" s="1"/>
  <c r="AA21" i="8"/>
  <c r="Z21" i="29" s="1"/>
  <c r="Z73" i="29" s="1"/>
  <c r="AA13" i="8"/>
  <c r="Z13" i="29" s="1"/>
  <c r="Z65" i="29" s="1"/>
  <c r="AA31" i="8"/>
  <c r="Z31" i="29" s="1"/>
  <c r="Z83" i="29" s="1"/>
  <c r="AA28" i="8"/>
  <c r="Z28" i="29" s="1"/>
  <c r="Z80" i="29" s="1"/>
  <c r="AA20" i="8"/>
  <c r="Z20" i="29" s="1"/>
  <c r="Z72" i="29" s="1"/>
  <c r="AA12" i="8"/>
  <c r="Z12" i="29" s="1"/>
  <c r="Z64" i="29" s="1"/>
  <c r="AA27" i="8"/>
  <c r="Z27" i="29" s="1"/>
  <c r="Z79" i="29" s="1"/>
  <c r="AA19" i="8"/>
  <c r="Z19" i="29" s="1"/>
  <c r="Z71" i="29" s="1"/>
  <c r="AA11" i="8"/>
  <c r="Z11" i="29" s="1"/>
  <c r="Z63" i="29" s="1"/>
  <c r="AA7" i="8"/>
  <c r="Z7" i="29" s="1"/>
  <c r="Z59" i="29" s="1"/>
  <c r="AA35" i="8"/>
  <c r="Z35" i="29" s="1"/>
  <c r="Z87" i="29" s="1"/>
  <c r="AA26" i="8"/>
  <c r="Z26" i="29" s="1"/>
  <c r="Z78" i="29" s="1"/>
  <c r="AA18" i="8"/>
  <c r="Z18" i="29" s="1"/>
  <c r="Z70" i="29" s="1"/>
  <c r="AA51" i="8"/>
  <c r="Z51" i="29" s="1"/>
  <c r="Z103" i="29" s="1"/>
  <c r="AA25" i="8"/>
  <c r="Z25" i="29" s="1"/>
  <c r="Z77" i="29" s="1"/>
  <c r="AA17" i="8"/>
  <c r="Z17" i="29" s="1"/>
  <c r="Z69" i="29" s="1"/>
  <c r="AA10" i="8"/>
  <c r="Z10" i="29" s="1"/>
  <c r="Z62" i="29" s="1"/>
  <c r="AA24" i="8"/>
  <c r="Z24" i="29" s="1"/>
  <c r="Z76" i="29" s="1"/>
  <c r="AA47" i="8"/>
  <c r="Z47" i="29" s="1"/>
  <c r="Z99" i="29" s="1"/>
  <c r="AA16" i="8"/>
  <c r="Z16" i="29" s="1"/>
  <c r="Z68" i="29" s="1"/>
  <c r="AA8" i="8"/>
  <c r="Z8" i="29" s="1"/>
  <c r="Z60" i="29" s="1"/>
  <c r="AA6" i="8"/>
  <c r="Z6" i="29" s="1"/>
  <c r="Z58" i="29" s="1"/>
  <c r="AA5" i="8"/>
  <c r="Z5" i="29" s="1"/>
  <c r="Z57" i="29" s="1"/>
  <c r="Z53" i="9"/>
  <c r="S27" i="7"/>
  <c r="R27" i="7"/>
  <c r="R26" i="7"/>
  <c r="R29" i="7"/>
  <c r="R25" i="7"/>
  <c r="R6" i="7"/>
  <c r="R17" i="7"/>
  <c r="R13" i="7"/>
  <c r="R24" i="7"/>
  <c r="R23" i="7"/>
  <c r="R22" i="7"/>
  <c r="R9" i="7"/>
  <c r="R5" i="7"/>
  <c r="R20" i="7"/>
  <c r="R16" i="7"/>
  <c r="R12" i="7"/>
  <c r="R21" i="7"/>
  <c r="R8" i="7"/>
  <c r="R19" i="7"/>
  <c r="R15" i="7"/>
  <c r="R11" i="7"/>
  <c r="R28" i="7"/>
  <c r="R7" i="7"/>
  <c r="R18" i="7"/>
  <c r="R14" i="7"/>
  <c r="R10" i="7"/>
  <c r="R50" i="7"/>
  <c r="R30" i="7"/>
  <c r="R46" i="7"/>
  <c r="R38" i="7"/>
  <c r="R35" i="7"/>
  <c r="R43" i="7"/>
  <c r="R36" i="7"/>
  <c r="R33" i="7"/>
  <c r="R51" i="7"/>
  <c r="R44" i="7"/>
  <c r="R41" i="7"/>
  <c r="R32" i="7"/>
  <c r="R31" i="7"/>
  <c r="R48" i="7"/>
  <c r="R49" i="7"/>
  <c r="R34" i="7"/>
  <c r="R37" i="7"/>
  <c r="R47" i="7"/>
  <c r="R39" i="7"/>
  <c r="R40" i="7"/>
  <c r="R42" i="7"/>
  <c r="R45" i="7"/>
  <c r="E37" i="5"/>
  <c r="R46" i="13"/>
  <c r="R46" i="12"/>
  <c r="R46" i="11"/>
  <c r="R46" i="10"/>
  <c r="W51" i="7"/>
  <c r="W48" i="7"/>
  <c r="W45" i="7"/>
  <c r="W41" i="7"/>
  <c r="W37" i="7"/>
  <c r="W33" i="7"/>
  <c r="W29" i="7"/>
  <c r="W25" i="7"/>
  <c r="W47" i="7"/>
  <c r="W44" i="7"/>
  <c r="W40" i="7"/>
  <c r="W36" i="7"/>
  <c r="W32" i="7"/>
  <c r="W28" i="7"/>
  <c r="W24" i="7"/>
  <c r="W50" i="7"/>
  <c r="W43" i="7"/>
  <c r="W39" i="7"/>
  <c r="W35" i="7"/>
  <c r="W31" i="7"/>
  <c r="W27" i="7"/>
  <c r="W23" i="7"/>
  <c r="W46" i="7"/>
  <c r="W22" i="7"/>
  <c r="W8" i="7"/>
  <c r="W34" i="7"/>
  <c r="W21" i="7"/>
  <c r="W19" i="7"/>
  <c r="W15" i="7"/>
  <c r="W11" i="7"/>
  <c r="W49" i="7"/>
  <c r="W7" i="7"/>
  <c r="W42" i="7"/>
  <c r="W18" i="7"/>
  <c r="W14" i="7"/>
  <c r="W10" i="7"/>
  <c r="W30" i="7"/>
  <c r="W6" i="7"/>
  <c r="W17" i="7"/>
  <c r="W13" i="7"/>
  <c r="W38" i="7"/>
  <c r="W9" i="7"/>
  <c r="W5" i="7"/>
  <c r="W26" i="7"/>
  <c r="W20" i="7"/>
  <c r="W16" i="7"/>
  <c r="W12" i="7"/>
  <c r="F37" i="5"/>
  <c r="R47" i="13"/>
  <c r="R47" i="12"/>
  <c r="R49" i="12" s="1"/>
  <c r="R48" i="12" s="1"/>
  <c r="R47" i="10"/>
  <c r="R47" i="11"/>
  <c r="AH25" i="7"/>
  <c r="AH20" i="7"/>
  <c r="AH16" i="7"/>
  <c r="AH12" i="7"/>
  <c r="AH8" i="7"/>
  <c r="AH19" i="7"/>
  <c r="AH15" i="7"/>
  <c r="AH11" i="7"/>
  <c r="AH7" i="7"/>
  <c r="AH18" i="7"/>
  <c r="AH14" i="7"/>
  <c r="AH10" i="7"/>
  <c r="AH6" i="7"/>
  <c r="AH17" i="7"/>
  <c r="AH13" i="7"/>
  <c r="AH9" i="7"/>
  <c r="AH5" i="7"/>
  <c r="AH33" i="7"/>
  <c r="AH27" i="7"/>
  <c r="AH28" i="7"/>
  <c r="AH23" i="7"/>
  <c r="AH41" i="7"/>
  <c r="AH22" i="7"/>
  <c r="AH32" i="7"/>
  <c r="AH38" i="7"/>
  <c r="AH43" i="7"/>
  <c r="AH44" i="7"/>
  <c r="AH30" i="7"/>
  <c r="AH37" i="7"/>
  <c r="AH31" i="7"/>
  <c r="AH40" i="7"/>
  <c r="AH26" i="7"/>
  <c r="AH46" i="7"/>
  <c r="AH51" i="7"/>
  <c r="AH45" i="7"/>
  <c r="AH39" i="7"/>
  <c r="AH21" i="7"/>
  <c r="AH48" i="7"/>
  <c r="AH34" i="7"/>
  <c r="AH47" i="7"/>
  <c r="AH42" i="7"/>
  <c r="AH49" i="7"/>
  <c r="AH50" i="7"/>
  <c r="AH24" i="7"/>
  <c r="AH29" i="7"/>
  <c r="AH35" i="7"/>
  <c r="AH36" i="7"/>
  <c r="AC25" i="7"/>
  <c r="AC20" i="7"/>
  <c r="AC17" i="7"/>
  <c r="AC13" i="7"/>
  <c r="AC9" i="7"/>
  <c r="AC5" i="7"/>
  <c r="AC16" i="7"/>
  <c r="AC12" i="7"/>
  <c r="AC8" i="7"/>
  <c r="AC19" i="7"/>
  <c r="AC15" i="7"/>
  <c r="AC11" i="7"/>
  <c r="AC7" i="7"/>
  <c r="AC18" i="7"/>
  <c r="AC14" i="7"/>
  <c r="AC10" i="7"/>
  <c r="AC6" i="7"/>
  <c r="AC37" i="7"/>
  <c r="AC46" i="7"/>
  <c r="AC32" i="7"/>
  <c r="AC44" i="7"/>
  <c r="AC51" i="7"/>
  <c r="AC45" i="7"/>
  <c r="AC48" i="7"/>
  <c r="AC36" i="7"/>
  <c r="AC22" i="7"/>
  <c r="AC31" i="7"/>
  <c r="AC24" i="7"/>
  <c r="AC26" i="7"/>
  <c r="AC21" i="7"/>
  <c r="AC39" i="7"/>
  <c r="AC33" i="7"/>
  <c r="AC34" i="7"/>
  <c r="AC27" i="7"/>
  <c r="AC30" i="7"/>
  <c r="AC47" i="7"/>
  <c r="AC41" i="7"/>
  <c r="AC42" i="7"/>
  <c r="AC35" i="7"/>
  <c r="AC40" i="7"/>
  <c r="AC43" i="7"/>
  <c r="AC38" i="7"/>
  <c r="AC29" i="7"/>
  <c r="AC49" i="7"/>
  <c r="AC28" i="7"/>
  <c r="AC50" i="7"/>
  <c r="Z47" i="8"/>
  <c r="Y47" i="29" s="1"/>
  <c r="Y99" i="29" s="1"/>
  <c r="Z39" i="8"/>
  <c r="Y39" i="29" s="1"/>
  <c r="Y91" i="29" s="1"/>
  <c r="Z31" i="8"/>
  <c r="Y31" i="29" s="1"/>
  <c r="Y83" i="29" s="1"/>
  <c r="Z46" i="8"/>
  <c r="Y46" i="29" s="1"/>
  <c r="Y98" i="29" s="1"/>
  <c r="Z38" i="8"/>
  <c r="Y38" i="29" s="1"/>
  <c r="Y90" i="29" s="1"/>
  <c r="Z45" i="8"/>
  <c r="Y45" i="29" s="1"/>
  <c r="Y97" i="29" s="1"/>
  <c r="Z37" i="8"/>
  <c r="Y37" i="29" s="1"/>
  <c r="Y89" i="29" s="1"/>
  <c r="Z51" i="8"/>
  <c r="Y51" i="29" s="1"/>
  <c r="Y103" i="29" s="1"/>
  <c r="Z43" i="8"/>
  <c r="Y43" i="29" s="1"/>
  <c r="Y95" i="29" s="1"/>
  <c r="Z35" i="8"/>
  <c r="Y35" i="29" s="1"/>
  <c r="Y87" i="29" s="1"/>
  <c r="Z50" i="8"/>
  <c r="Y50" i="29" s="1"/>
  <c r="Y102" i="29" s="1"/>
  <c r="Z42" i="8"/>
  <c r="Y42" i="29" s="1"/>
  <c r="Y94" i="29" s="1"/>
  <c r="Z49" i="8"/>
  <c r="Y49" i="29" s="1"/>
  <c r="Y101" i="29" s="1"/>
  <c r="Z41" i="8"/>
  <c r="Y41" i="29" s="1"/>
  <c r="Y93" i="29" s="1"/>
  <c r="Z33" i="8"/>
  <c r="Y33" i="29" s="1"/>
  <c r="Y85" i="29" s="1"/>
  <c r="Z24" i="8"/>
  <c r="Y24" i="29" s="1"/>
  <c r="Y76" i="29" s="1"/>
  <c r="Z16" i="8"/>
  <c r="Y16" i="29" s="1"/>
  <c r="Y68" i="29" s="1"/>
  <c r="Z6" i="8"/>
  <c r="Y6" i="29" s="1"/>
  <c r="Y58" i="29" s="1"/>
  <c r="Z29" i="8"/>
  <c r="Y29" i="29" s="1"/>
  <c r="Y81" i="29" s="1"/>
  <c r="Z23" i="8"/>
  <c r="Y23" i="29" s="1"/>
  <c r="Y75" i="29" s="1"/>
  <c r="Z15" i="8"/>
  <c r="Y15" i="29" s="1"/>
  <c r="Y67" i="29" s="1"/>
  <c r="Z32" i="8"/>
  <c r="Y32" i="29" s="1"/>
  <c r="Y84" i="29" s="1"/>
  <c r="Z22" i="8"/>
  <c r="Y22" i="29" s="1"/>
  <c r="Y74" i="29" s="1"/>
  <c r="Z14" i="8"/>
  <c r="Y14" i="29" s="1"/>
  <c r="Y66" i="29" s="1"/>
  <c r="Z48" i="8"/>
  <c r="Y48" i="29" s="1"/>
  <c r="Y100" i="29" s="1"/>
  <c r="Z21" i="8"/>
  <c r="Y21" i="29" s="1"/>
  <c r="Y73" i="29" s="1"/>
  <c r="Z13" i="8"/>
  <c r="Y13" i="29" s="1"/>
  <c r="Y65" i="29" s="1"/>
  <c r="Z44" i="8"/>
  <c r="Y44" i="29" s="1"/>
  <c r="Y96" i="29" s="1"/>
  <c r="Z34" i="8"/>
  <c r="Y34" i="29" s="1"/>
  <c r="Y86" i="29" s="1"/>
  <c r="Z28" i="8"/>
  <c r="Y28" i="29" s="1"/>
  <c r="Y80" i="29" s="1"/>
  <c r="Z20" i="8"/>
  <c r="Y20" i="29" s="1"/>
  <c r="Y72" i="29" s="1"/>
  <c r="Z12" i="8"/>
  <c r="Y12" i="29" s="1"/>
  <c r="Y64" i="29" s="1"/>
  <c r="Z40" i="8"/>
  <c r="Y40" i="29" s="1"/>
  <c r="Y92" i="29" s="1"/>
  <c r="Z27" i="8"/>
  <c r="Y27" i="29" s="1"/>
  <c r="Y79" i="29" s="1"/>
  <c r="Z19" i="8"/>
  <c r="Y19" i="29" s="1"/>
  <c r="Y71" i="29" s="1"/>
  <c r="Z30" i="8"/>
  <c r="Y30" i="29" s="1"/>
  <c r="Y82" i="29" s="1"/>
  <c r="Z26" i="8"/>
  <c r="Y26" i="29" s="1"/>
  <c r="Y78" i="29" s="1"/>
  <c r="Z18" i="8"/>
  <c r="Y18" i="29" s="1"/>
  <c r="Y70" i="29" s="1"/>
  <c r="Z9" i="8"/>
  <c r="Y9" i="29" s="1"/>
  <c r="Y61" i="29" s="1"/>
  <c r="Z8" i="8"/>
  <c r="Y8" i="29" s="1"/>
  <c r="Y60" i="29" s="1"/>
  <c r="Z5" i="8"/>
  <c r="Y5" i="29" s="1"/>
  <c r="Y57" i="29" s="1"/>
  <c r="Z25" i="8"/>
  <c r="Y25" i="29" s="1"/>
  <c r="Y77" i="29" s="1"/>
  <c r="Z11" i="8"/>
  <c r="Y11" i="29" s="1"/>
  <c r="Y63" i="29" s="1"/>
  <c r="Z17" i="8"/>
  <c r="Y17" i="29" s="1"/>
  <c r="Y69" i="29" s="1"/>
  <c r="Z7" i="8"/>
  <c r="Y7" i="29" s="1"/>
  <c r="Y59" i="29" s="1"/>
  <c r="Z36" i="8"/>
  <c r="Y36" i="29" s="1"/>
  <c r="Y88" i="29" s="1"/>
  <c r="Z10" i="8"/>
  <c r="Y10" i="29" s="1"/>
  <c r="Y62" i="29" s="1"/>
  <c r="AC23" i="7"/>
  <c r="P28" i="7"/>
  <c r="P27" i="7"/>
  <c r="P26" i="7"/>
  <c r="P22" i="7"/>
  <c r="P7" i="7"/>
  <c r="P18" i="7"/>
  <c r="P14" i="7"/>
  <c r="P10" i="7"/>
  <c r="P29" i="7"/>
  <c r="P6" i="7"/>
  <c r="P24" i="7"/>
  <c r="P23" i="7"/>
  <c r="P17" i="7"/>
  <c r="P13" i="7"/>
  <c r="P9" i="7"/>
  <c r="P5" i="7"/>
  <c r="P25" i="7"/>
  <c r="P21" i="7"/>
  <c r="P20" i="7"/>
  <c r="P16" i="7"/>
  <c r="P12" i="7"/>
  <c r="P8" i="7"/>
  <c r="P33" i="7"/>
  <c r="P19" i="7"/>
  <c r="P15" i="7"/>
  <c r="P11" i="7"/>
  <c r="P34" i="7"/>
  <c r="P37" i="7"/>
  <c r="P30" i="7"/>
  <c r="P45" i="7"/>
  <c r="P35" i="7"/>
  <c r="P36" i="7"/>
  <c r="P50" i="7"/>
  <c r="P48" i="7"/>
  <c r="P43" i="7"/>
  <c r="P44" i="7"/>
  <c r="P46" i="7"/>
  <c r="P40" i="7"/>
  <c r="P49" i="7"/>
  <c r="P41" i="7"/>
  <c r="P42" i="7"/>
  <c r="P31" i="7"/>
  <c r="P39" i="7"/>
  <c r="P51" i="7"/>
  <c r="P47" i="7"/>
  <c r="P32" i="7"/>
  <c r="P38" i="7"/>
  <c r="S45" i="13"/>
  <c r="S45" i="12"/>
  <c r="S45" i="11"/>
  <c r="S45" i="10"/>
  <c r="U46" i="7"/>
  <c r="U49" i="7"/>
  <c r="U42" i="7"/>
  <c r="U38" i="7"/>
  <c r="U34" i="7"/>
  <c r="U30" i="7"/>
  <c r="U26" i="7"/>
  <c r="U51" i="7"/>
  <c r="U48" i="7"/>
  <c r="U45" i="7"/>
  <c r="U41" i="7"/>
  <c r="U37" i="7"/>
  <c r="U33" i="7"/>
  <c r="U29" i="7"/>
  <c r="U25" i="7"/>
  <c r="U47" i="7"/>
  <c r="U44" i="7"/>
  <c r="U40" i="7"/>
  <c r="U36" i="7"/>
  <c r="U32" i="7"/>
  <c r="U28" i="7"/>
  <c r="U24" i="7"/>
  <c r="U50" i="7"/>
  <c r="U9" i="7"/>
  <c r="U5" i="7"/>
  <c r="U39" i="7"/>
  <c r="U23" i="7"/>
  <c r="U22" i="7"/>
  <c r="U20" i="7"/>
  <c r="U16" i="7"/>
  <c r="U12" i="7"/>
  <c r="U27" i="7"/>
  <c r="U8" i="7"/>
  <c r="U21" i="7"/>
  <c r="U19" i="7"/>
  <c r="U15" i="7"/>
  <c r="U11" i="7"/>
  <c r="U35" i="7"/>
  <c r="U7" i="7"/>
  <c r="U18" i="7"/>
  <c r="U14" i="7"/>
  <c r="U10" i="7"/>
  <c r="U43" i="7"/>
  <c r="U6" i="7"/>
  <c r="U31" i="7"/>
  <c r="U17" i="7"/>
  <c r="U13" i="7"/>
  <c r="X51" i="7"/>
  <c r="X48" i="7"/>
  <c r="X45" i="7"/>
  <c r="X41" i="7"/>
  <c r="X37" i="7"/>
  <c r="X33" i="7"/>
  <c r="X29" i="7"/>
  <c r="X25" i="7"/>
  <c r="X21" i="7"/>
  <c r="X47" i="7"/>
  <c r="X44" i="7"/>
  <c r="X40" i="7"/>
  <c r="X36" i="7"/>
  <c r="X32" i="7"/>
  <c r="X28" i="7"/>
  <c r="X24" i="7"/>
  <c r="X50" i="7"/>
  <c r="X43" i="7"/>
  <c r="X39" i="7"/>
  <c r="X35" i="7"/>
  <c r="X31" i="7"/>
  <c r="X27" i="7"/>
  <c r="X23" i="7"/>
  <c r="X46" i="7"/>
  <c r="X49" i="7"/>
  <c r="X42" i="7"/>
  <c r="X38" i="7"/>
  <c r="X34" i="7"/>
  <c r="X30" i="7"/>
  <c r="X26" i="7"/>
  <c r="X22" i="7"/>
  <c r="X19" i="7"/>
  <c r="X15" i="7"/>
  <c r="X11" i="7"/>
  <c r="X7" i="7"/>
  <c r="X18" i="7"/>
  <c r="X14" i="7"/>
  <c r="X10" i="7"/>
  <c r="X6" i="7"/>
  <c r="X17" i="7"/>
  <c r="X13" i="7"/>
  <c r="X9" i="7"/>
  <c r="X5" i="7"/>
  <c r="X8" i="7"/>
  <c r="X20" i="7"/>
  <c r="X16" i="7"/>
  <c r="X12" i="7"/>
  <c r="S25" i="7"/>
  <c r="S17" i="7"/>
  <c r="S13" i="7"/>
  <c r="S9" i="7"/>
  <c r="S5" i="7"/>
  <c r="S20" i="7"/>
  <c r="S16" i="7"/>
  <c r="S12" i="7"/>
  <c r="S8" i="7"/>
  <c r="S19" i="7"/>
  <c r="S15" i="7"/>
  <c r="S11" i="7"/>
  <c r="S7" i="7"/>
  <c r="S18" i="7"/>
  <c r="S14" i="7"/>
  <c r="S10" i="7"/>
  <c r="S6" i="7"/>
  <c r="S50" i="7"/>
  <c r="S24" i="7"/>
  <c r="S34" i="7"/>
  <c r="S35" i="7"/>
  <c r="S38" i="7"/>
  <c r="S22" i="7"/>
  <c r="S33" i="7"/>
  <c r="S42" i="7"/>
  <c r="S43" i="7"/>
  <c r="S41" i="7"/>
  <c r="S48" i="7"/>
  <c r="S51" i="7"/>
  <c r="S36" i="7"/>
  <c r="S39" i="7"/>
  <c r="S23" i="7"/>
  <c r="S49" i="7"/>
  <c r="S44" i="7"/>
  <c r="S47" i="7"/>
  <c r="S32" i="7"/>
  <c r="S29" i="7"/>
  <c r="S37" i="7"/>
  <c r="S40" i="7"/>
  <c r="S21" i="7"/>
  <c r="S26" i="7"/>
  <c r="S45" i="7"/>
  <c r="S30" i="7"/>
  <c r="S46" i="7"/>
  <c r="S28" i="7"/>
  <c r="Q28" i="7"/>
  <c r="Q24" i="7"/>
  <c r="Q27" i="7"/>
  <c r="Q23" i="7"/>
  <c r="Q26" i="7"/>
  <c r="Q22" i="7"/>
  <c r="Q29" i="7"/>
  <c r="Q21" i="7"/>
  <c r="Q14" i="7"/>
  <c r="Q10" i="7"/>
  <c r="Q6" i="7"/>
  <c r="Q13" i="7"/>
  <c r="Q9" i="7"/>
  <c r="Q5" i="7"/>
  <c r="Q16" i="7"/>
  <c r="Q8" i="7"/>
  <c r="Q15" i="7"/>
  <c r="Q7" i="7"/>
  <c r="Q41" i="7"/>
  <c r="Q31" i="7"/>
  <c r="Q44" i="7"/>
  <c r="Q11" i="7"/>
  <c r="Q39" i="7"/>
  <c r="Q18" i="7"/>
  <c r="Q25" i="7"/>
  <c r="Q30" i="7"/>
  <c r="Q47" i="7"/>
  <c r="Q32" i="7"/>
  <c r="Q34" i="7"/>
  <c r="Q35" i="7"/>
  <c r="Q20" i="7"/>
  <c r="Q36" i="7"/>
  <c r="Q19" i="7"/>
  <c r="Q37" i="7"/>
  <c r="Q38" i="7"/>
  <c r="Q40" i="7"/>
  <c r="Q42" i="7"/>
  <c r="Q43" i="7"/>
  <c r="Q12" i="7"/>
  <c r="Q45" i="7"/>
  <c r="Q46" i="7"/>
  <c r="Q48" i="7"/>
  <c r="Q50" i="7"/>
  <c r="Q51" i="7"/>
  <c r="Q17" i="7"/>
  <c r="Q49" i="7"/>
  <c r="L26" i="7"/>
  <c r="L22" i="7"/>
  <c r="L29" i="7"/>
  <c r="L28" i="7"/>
  <c r="L24" i="7"/>
  <c r="L27" i="7"/>
  <c r="L23" i="7"/>
  <c r="L21" i="7"/>
  <c r="L16" i="7"/>
  <c r="L8" i="7"/>
  <c r="L15" i="7"/>
  <c r="L14" i="7"/>
  <c r="L10" i="7"/>
  <c r="L6" i="7"/>
  <c r="L13" i="7"/>
  <c r="L9" i="7"/>
  <c r="L5" i="7"/>
  <c r="L46" i="7"/>
  <c r="L20" i="7"/>
  <c r="L51" i="7"/>
  <c r="L38" i="7"/>
  <c r="L31" i="7"/>
  <c r="L32" i="7"/>
  <c r="L33" i="7"/>
  <c r="L34" i="7"/>
  <c r="L30" i="7"/>
  <c r="L39" i="7"/>
  <c r="L40" i="7"/>
  <c r="L41" i="7"/>
  <c r="L42" i="7"/>
  <c r="L25" i="7"/>
  <c r="L18" i="7"/>
  <c r="L47" i="7"/>
  <c r="L48" i="7"/>
  <c r="L49" i="7"/>
  <c r="L50" i="7"/>
  <c r="L36" i="7"/>
  <c r="L37" i="7"/>
  <c r="L11" i="7"/>
  <c r="L12" i="7"/>
  <c r="L44" i="7"/>
  <c r="L45" i="7"/>
  <c r="L19" i="7"/>
  <c r="L35" i="7"/>
  <c r="L43" i="7"/>
  <c r="L17" i="7"/>
  <c r="Q33" i="7"/>
  <c r="O29" i="9"/>
  <c r="O38" i="9"/>
  <c r="O37" i="9"/>
  <c r="AI47" i="7"/>
  <c r="O22" i="7"/>
  <c r="O30" i="7"/>
  <c r="AI45" i="7"/>
  <c r="O36" i="7"/>
  <c r="O35" i="7"/>
  <c r="O34" i="7"/>
  <c r="AI48" i="7"/>
  <c r="AI24" i="7"/>
  <c r="O33" i="7"/>
  <c r="AI39" i="7"/>
  <c r="AI37" i="7"/>
  <c r="O28" i="7"/>
  <c r="AI51" i="7"/>
  <c r="O27" i="7"/>
  <c r="AI50" i="7"/>
  <c r="O26" i="7"/>
  <c r="AI40" i="7"/>
  <c r="O24" i="7"/>
  <c r="AB56" i="9"/>
  <c r="AB56" i="8"/>
  <c r="AB56" i="7"/>
  <c r="AB58" i="6"/>
  <c r="AI31" i="7"/>
  <c r="AI29" i="7"/>
  <c r="AI43" i="7"/>
  <c r="AA46" i="13"/>
  <c r="AA46" i="12"/>
  <c r="AA46" i="10"/>
  <c r="AA46" i="11"/>
  <c r="AL56" i="9"/>
  <c r="AL56" i="8"/>
  <c r="AL58" i="6"/>
  <c r="AL56" i="7"/>
  <c r="AI46" i="7"/>
  <c r="O45" i="7"/>
  <c r="AI35" i="7"/>
  <c r="O23" i="7"/>
  <c r="O40" i="7"/>
  <c r="AI27" i="7"/>
  <c r="AI25" i="7"/>
  <c r="AI8" i="7"/>
  <c r="AI20" i="7"/>
  <c r="AI19" i="7"/>
  <c r="AI15" i="7"/>
  <c r="AI11" i="7"/>
  <c r="AI7" i="7"/>
  <c r="AI18" i="7"/>
  <c r="AI14" i="7"/>
  <c r="AI10" i="7"/>
  <c r="AI6" i="7"/>
  <c r="AI17" i="7"/>
  <c r="AI13" i="7"/>
  <c r="AI9" i="7"/>
  <c r="AI5" i="7"/>
  <c r="AI42" i="7"/>
  <c r="AI16" i="7"/>
  <c r="AI12" i="7"/>
  <c r="AI49" i="7"/>
  <c r="AI38" i="7"/>
  <c r="O25" i="7"/>
  <c r="O19" i="7"/>
  <c r="O15" i="7"/>
  <c r="O11" i="7"/>
  <c r="O7" i="7"/>
  <c r="O18" i="7"/>
  <c r="O14" i="7"/>
  <c r="O10" i="7"/>
  <c r="O6" i="7"/>
  <c r="O17" i="7"/>
  <c r="O13" i="7"/>
  <c r="O9" i="7"/>
  <c r="O5" i="7"/>
  <c r="O20" i="7"/>
  <c r="O16" i="7"/>
  <c r="O12" i="7"/>
  <c r="O8" i="7"/>
  <c r="AI26" i="7"/>
  <c r="O32" i="7"/>
  <c r="O39" i="7"/>
  <c r="O46" i="7"/>
  <c r="R49" i="11"/>
  <c r="R48" i="11" s="1"/>
  <c r="AI36" i="7"/>
  <c r="O51" i="7"/>
  <c r="AI32" i="7"/>
  <c r="O50" i="7"/>
  <c r="AI41" i="7"/>
  <c r="O49" i="7"/>
  <c r="AI22" i="7"/>
  <c r="AI30" i="7"/>
  <c r="O48" i="7"/>
  <c r="M64" i="6"/>
  <c r="M70" i="6" s="1"/>
  <c r="Y56" i="6"/>
  <c r="Y60" i="6" s="1"/>
  <c r="V56" i="6"/>
  <c r="V60" i="6"/>
  <c r="M55" i="6"/>
  <c r="M60" i="6" s="1"/>
  <c r="M30" i="7" s="1"/>
  <c r="P11" i="31" l="1"/>
  <c r="T44" i="10"/>
  <c r="T49" i="10" s="1"/>
  <c r="X48" i="10"/>
  <c r="T48" i="10"/>
  <c r="R44" i="10"/>
  <c r="R49" i="10" s="1"/>
  <c r="V48" i="10"/>
  <c r="AA44" i="10"/>
  <c r="H6" i="32"/>
  <c r="N48" i="10"/>
  <c r="L44" i="10"/>
  <c r="M44" i="10"/>
  <c r="V44" i="10"/>
  <c r="X44" i="10"/>
  <c r="X49" i="10" s="1"/>
  <c r="W44" i="10"/>
  <c r="U48" i="10"/>
  <c r="S44" i="10"/>
  <c r="N44" i="10"/>
  <c r="N49" i="10" s="1"/>
  <c r="P48" i="10"/>
  <c r="Z44" i="10"/>
  <c r="Z49" i="10" s="1"/>
  <c r="O44" i="10"/>
  <c r="O49" i="10" s="1"/>
  <c r="Z48" i="10"/>
  <c r="U44" i="10"/>
  <c r="U49" i="10" s="1"/>
  <c r="M48" i="10"/>
  <c r="O48" i="10"/>
  <c r="N56" i="6"/>
  <c r="X44" i="11"/>
  <c r="Y44" i="11"/>
  <c r="P44" i="10"/>
  <c r="Q44" i="10"/>
  <c r="P9" i="31"/>
  <c r="P15" i="31" s="1"/>
  <c r="X10" i="31"/>
  <c r="O9" i="31"/>
  <c r="O15" i="31" s="1"/>
  <c r="O11" i="31"/>
  <c r="B10" i="32"/>
  <c r="B8" i="32"/>
  <c r="M8" i="32" s="1"/>
  <c r="X8" i="31"/>
  <c r="O7" i="31"/>
  <c r="AI23" i="9"/>
  <c r="AI44" i="9"/>
  <c r="P7" i="31"/>
  <c r="T6" i="31"/>
  <c r="X6" i="31" s="1"/>
  <c r="J10" i="32"/>
  <c r="B6" i="32"/>
  <c r="AI28" i="9"/>
  <c r="AI33" i="9"/>
  <c r="AI21" i="9"/>
  <c r="J6" i="32"/>
  <c r="O41" i="9"/>
  <c r="F4" i="5"/>
  <c r="E4" i="5"/>
  <c r="O43" i="9"/>
  <c r="F30" i="5"/>
  <c r="O42" i="9"/>
  <c r="O44" i="9"/>
  <c r="O21" i="9"/>
  <c r="M30" i="9"/>
  <c r="AI42" i="9"/>
  <c r="O33" i="9"/>
  <c r="L35" i="9"/>
  <c r="L51" i="9"/>
  <c r="Q48" i="9"/>
  <c r="X42" i="9"/>
  <c r="U10" i="9"/>
  <c r="U40" i="9"/>
  <c r="P42" i="9"/>
  <c r="P29" i="9"/>
  <c r="AD30" i="7"/>
  <c r="AC30" i="9"/>
  <c r="AD30" i="9" s="1"/>
  <c r="AD15" i="7"/>
  <c r="AC15" i="9"/>
  <c r="AD15" i="9" s="1"/>
  <c r="AH41" i="9"/>
  <c r="W30" i="9"/>
  <c r="W37" i="9"/>
  <c r="R44" i="9"/>
  <c r="R9" i="9"/>
  <c r="O50" i="9"/>
  <c r="AI26" i="9"/>
  <c r="O17" i="9"/>
  <c r="O19" i="9"/>
  <c r="AI5" i="9"/>
  <c r="AI53" i="7"/>
  <c r="AI58" i="7" s="1"/>
  <c r="AI7" i="8" s="1"/>
  <c r="AI7" i="9"/>
  <c r="O40" i="9"/>
  <c r="AI31" i="9"/>
  <c r="AI50" i="9"/>
  <c r="AI24" i="9"/>
  <c r="AI47" i="9"/>
  <c r="Q33" i="9"/>
  <c r="L19" i="9"/>
  <c r="L49" i="9"/>
  <c r="L39" i="9"/>
  <c r="L20" i="9"/>
  <c r="L15" i="9"/>
  <c r="L29" i="9"/>
  <c r="Q46" i="9"/>
  <c r="Q19" i="9"/>
  <c r="Q25" i="9"/>
  <c r="Q15" i="9"/>
  <c r="Q14" i="9"/>
  <c r="Q28" i="9"/>
  <c r="M21" i="7"/>
  <c r="X13" i="9"/>
  <c r="X15" i="9"/>
  <c r="X49" i="9"/>
  <c r="X50" i="9"/>
  <c r="X21" i="9"/>
  <c r="X51" i="9"/>
  <c r="U14" i="9"/>
  <c r="U8" i="9"/>
  <c r="U5" i="9"/>
  <c r="U53" i="7"/>
  <c r="U58" i="7" s="1"/>
  <c r="U10" i="8" s="1"/>
  <c r="U44" i="9"/>
  <c r="U48" i="9"/>
  <c r="U46" i="9"/>
  <c r="M47" i="7"/>
  <c r="P41" i="9"/>
  <c r="P36" i="9"/>
  <c r="P19" i="9"/>
  <c r="P5" i="9"/>
  <c r="P53" i="7"/>
  <c r="P58" i="7" s="1"/>
  <c r="P10" i="8" s="1"/>
  <c r="P10" i="9"/>
  <c r="M29" i="7"/>
  <c r="Z53" i="8"/>
  <c r="AD38" i="7"/>
  <c r="AC38" i="9"/>
  <c r="AD38" i="9" s="1"/>
  <c r="AD27" i="7"/>
  <c r="AC27" i="9"/>
  <c r="AD27" i="9" s="1"/>
  <c r="AD22" i="7"/>
  <c r="AC22" i="9"/>
  <c r="AD22" i="9" s="1"/>
  <c r="AD37" i="7"/>
  <c r="AC37" i="9"/>
  <c r="AD37" i="9" s="1"/>
  <c r="AD19" i="7"/>
  <c r="AC19" i="9"/>
  <c r="AD19" i="9" s="1"/>
  <c r="AD20" i="7"/>
  <c r="AC20" i="9"/>
  <c r="AD20" i="9" s="1"/>
  <c r="AH29" i="9"/>
  <c r="AH21" i="9"/>
  <c r="AH37" i="9"/>
  <c r="AH23" i="9"/>
  <c r="AH6" i="9"/>
  <c r="AH8" i="9"/>
  <c r="W26" i="9"/>
  <c r="W10" i="9"/>
  <c r="W19" i="9"/>
  <c r="W31" i="9"/>
  <c r="W36" i="9"/>
  <c r="W41" i="9"/>
  <c r="M18" i="7"/>
  <c r="R37" i="9"/>
  <c r="R51" i="9"/>
  <c r="R50" i="9"/>
  <c r="R19" i="9"/>
  <c r="R22" i="9"/>
  <c r="R26" i="9"/>
  <c r="M26" i="7"/>
  <c r="L45" i="13"/>
  <c r="L45" i="12"/>
  <c r="L49" i="12" s="1"/>
  <c r="L45" i="10"/>
  <c r="L45" i="11"/>
  <c r="L49" i="11" s="1"/>
  <c r="P28" i="9"/>
  <c r="AD17" i="7"/>
  <c r="AC17" i="9"/>
  <c r="AD17" i="9" s="1"/>
  <c r="AH17" i="9"/>
  <c r="W15" i="9"/>
  <c r="M51" i="7"/>
  <c r="R15" i="9"/>
  <c r="O25" i="9"/>
  <c r="AI48" i="9"/>
  <c r="L45" i="9"/>
  <c r="L30" i="9"/>
  <c r="L46" i="9"/>
  <c r="L22" i="9"/>
  <c r="Q36" i="9"/>
  <c r="Q18" i="9"/>
  <c r="Q8" i="9"/>
  <c r="Q21" i="9"/>
  <c r="M40" i="7"/>
  <c r="M38" i="7"/>
  <c r="X17" i="9"/>
  <c r="X19" i="9"/>
  <c r="X46" i="9"/>
  <c r="X24" i="9"/>
  <c r="X25" i="9"/>
  <c r="M44" i="7"/>
  <c r="U18" i="9"/>
  <c r="U27" i="9"/>
  <c r="U9" i="9"/>
  <c r="U47" i="9"/>
  <c r="U51" i="8"/>
  <c r="U51" i="9"/>
  <c r="M37" i="7"/>
  <c r="P38" i="9"/>
  <c r="P49" i="9"/>
  <c r="P35" i="9"/>
  <c r="P33" i="9"/>
  <c r="P9" i="9"/>
  <c r="P14" i="9"/>
  <c r="AD23" i="7"/>
  <c r="AC23" i="9"/>
  <c r="AD23" i="9" s="1"/>
  <c r="M42" i="7"/>
  <c r="AD43" i="7"/>
  <c r="AC43" i="9"/>
  <c r="AD43" i="9" s="1"/>
  <c r="AD34" i="7"/>
  <c r="AC34" i="9"/>
  <c r="AD34" i="9" s="1"/>
  <c r="AD36" i="7"/>
  <c r="AC36" i="9"/>
  <c r="AD36" i="9" s="1"/>
  <c r="AD6" i="7"/>
  <c r="AC6" i="9"/>
  <c r="AD6" i="9" s="1"/>
  <c r="AD8" i="7"/>
  <c r="AC8" i="9"/>
  <c r="AD8" i="9" s="1"/>
  <c r="AD25" i="7"/>
  <c r="AC25" i="9"/>
  <c r="AD25" i="9" s="1"/>
  <c r="AH24" i="9"/>
  <c r="AH39" i="9"/>
  <c r="AH30" i="9"/>
  <c r="AH28" i="9"/>
  <c r="AH10" i="9"/>
  <c r="AH12" i="9"/>
  <c r="W5" i="9"/>
  <c r="W53" i="7"/>
  <c r="W58" i="7" s="1"/>
  <c r="W31" i="8" s="1"/>
  <c r="V31" i="29" s="1"/>
  <c r="V83" i="29" s="1"/>
  <c r="W14" i="9"/>
  <c r="W21" i="9"/>
  <c r="W35" i="9"/>
  <c r="W40" i="9"/>
  <c r="W45" i="9"/>
  <c r="R34" i="9"/>
  <c r="R33" i="9"/>
  <c r="R10" i="9"/>
  <c r="R8" i="9"/>
  <c r="R23" i="9"/>
  <c r="R27" i="9"/>
  <c r="M17" i="7"/>
  <c r="AI41" i="9"/>
  <c r="O15" i="9"/>
  <c r="O26" i="9"/>
  <c r="L40" i="9"/>
  <c r="Q37" i="9"/>
  <c r="Q24" i="9"/>
  <c r="X11" i="9"/>
  <c r="X47" i="9"/>
  <c r="U21" i="9"/>
  <c r="P50" i="9"/>
  <c r="AD46" i="7"/>
  <c r="AC46" i="9"/>
  <c r="AD46" i="9" s="1"/>
  <c r="AH31" i="9"/>
  <c r="M35" i="7"/>
  <c r="W27" i="9"/>
  <c r="M24" i="7"/>
  <c r="R30" i="9"/>
  <c r="Y7" i="7"/>
  <c r="Y18" i="7"/>
  <c r="Y14" i="7"/>
  <c r="Y10" i="7"/>
  <c r="Y6" i="7"/>
  <c r="Y17" i="7"/>
  <c r="Y13" i="7"/>
  <c r="Y25" i="7"/>
  <c r="Y9" i="7"/>
  <c r="Y5" i="7"/>
  <c r="Y20" i="7"/>
  <c r="Y16" i="7"/>
  <c r="Y12" i="7"/>
  <c r="Y8" i="7"/>
  <c r="Y51" i="7"/>
  <c r="Y48" i="7"/>
  <c r="Y19" i="7"/>
  <c r="Y15" i="7"/>
  <c r="Y11" i="7"/>
  <c r="Y22" i="7"/>
  <c r="Y26" i="7"/>
  <c r="Y28" i="7"/>
  <c r="Y42" i="7"/>
  <c r="Y39" i="7"/>
  <c r="Y32" i="7"/>
  <c r="Y29" i="7"/>
  <c r="Y36" i="7"/>
  <c r="Y47" i="7"/>
  <c r="Y40" i="7"/>
  <c r="Y37" i="7"/>
  <c r="Y27" i="7"/>
  <c r="Y44" i="7"/>
  <c r="Y30" i="7"/>
  <c r="Y49" i="7"/>
  <c r="Y45" i="7"/>
  <c r="Y24" i="7"/>
  <c r="Y35" i="7"/>
  <c r="Y38" i="7"/>
  <c r="Y21" i="7"/>
  <c r="Y23" i="7"/>
  <c r="Y33" i="7"/>
  <c r="Y43" i="7"/>
  <c r="Y46" i="7"/>
  <c r="Y31" i="7"/>
  <c r="Y34" i="7"/>
  <c r="Y50" i="7"/>
  <c r="Y41" i="7"/>
  <c r="O8" i="9"/>
  <c r="AI9" i="9"/>
  <c r="Q45" i="9"/>
  <c r="O51" i="9"/>
  <c r="O12" i="9"/>
  <c r="O10" i="9"/>
  <c r="AI13" i="9"/>
  <c r="AI15" i="9"/>
  <c r="AI35" i="9"/>
  <c r="AI51" i="8"/>
  <c r="AE51" i="29" s="1"/>
  <c r="AE103" i="29" s="1"/>
  <c r="AI51" i="9"/>
  <c r="O34" i="9"/>
  <c r="N11" i="11"/>
  <c r="N9" i="11"/>
  <c r="N7" i="11"/>
  <c r="N5" i="11"/>
  <c r="N16" i="11"/>
  <c r="N10" i="11"/>
  <c r="N8" i="11"/>
  <c r="N6" i="11"/>
  <c r="N22" i="11"/>
  <c r="N23" i="11"/>
  <c r="N33" i="11"/>
  <c r="N32" i="11"/>
  <c r="N27" i="11"/>
  <c r="N21" i="11"/>
  <c r="N39" i="11"/>
  <c r="N35" i="11"/>
  <c r="N29" i="11"/>
  <c r="N13" i="11"/>
  <c r="N15" i="11"/>
  <c r="N18" i="11"/>
  <c r="N38" i="11"/>
  <c r="N37" i="11"/>
  <c r="N30" i="11"/>
  <c r="N24" i="11"/>
  <c r="N26" i="11"/>
  <c r="N20" i="11"/>
  <c r="N34" i="11"/>
  <c r="N28" i="11"/>
  <c r="N17" i="11"/>
  <c r="N42" i="11"/>
  <c r="N36" i="11"/>
  <c r="N14" i="11"/>
  <c r="N25" i="11"/>
  <c r="N31" i="11"/>
  <c r="N41" i="11"/>
  <c r="N12" i="11"/>
  <c r="N19" i="11"/>
  <c r="N40" i="11"/>
  <c r="L44" i="9"/>
  <c r="L47" i="9"/>
  <c r="L34" i="9"/>
  <c r="L5" i="9"/>
  <c r="L53" i="7"/>
  <c r="L58" i="7" s="1"/>
  <c r="L14" i="8" s="1"/>
  <c r="L14" i="29" s="1"/>
  <c r="L66" i="29" s="1"/>
  <c r="L16" i="9"/>
  <c r="L26" i="9"/>
  <c r="Q12" i="9"/>
  <c r="Q20" i="9"/>
  <c r="Q39" i="9"/>
  <c r="Q16" i="9"/>
  <c r="Q29" i="9"/>
  <c r="S53" i="7"/>
  <c r="X12" i="9"/>
  <c r="X6" i="9"/>
  <c r="X22" i="9"/>
  <c r="X23" i="9"/>
  <c r="X28" i="9"/>
  <c r="X29" i="9"/>
  <c r="U13" i="8"/>
  <c r="U13" i="9"/>
  <c r="U7" i="9"/>
  <c r="U12" i="9"/>
  <c r="U50" i="9"/>
  <c r="U25" i="8"/>
  <c r="U25" i="9"/>
  <c r="U26" i="9"/>
  <c r="M41" i="7"/>
  <c r="P32" i="8"/>
  <c r="P32" i="29" s="1"/>
  <c r="P84" i="29" s="1"/>
  <c r="P32" i="9"/>
  <c r="P40" i="9"/>
  <c r="P45" i="9"/>
  <c r="P8" i="9"/>
  <c r="P13" i="8"/>
  <c r="P13" i="9"/>
  <c r="P18" i="9"/>
  <c r="M39" i="7"/>
  <c r="AD40" i="7"/>
  <c r="AC40" i="9"/>
  <c r="AD40" i="9" s="1"/>
  <c r="AD33" i="7"/>
  <c r="AC33" i="9"/>
  <c r="AD33" i="9" s="1"/>
  <c r="AD48" i="7"/>
  <c r="AC48" i="9"/>
  <c r="AD48" i="9" s="1"/>
  <c r="AD10" i="7"/>
  <c r="AC10" i="9"/>
  <c r="AD10" i="9" s="1"/>
  <c r="AD12" i="7"/>
  <c r="AC12" i="9"/>
  <c r="AD12" i="9" s="1"/>
  <c r="M49" i="7"/>
  <c r="AH50" i="9"/>
  <c r="AH45" i="9"/>
  <c r="AH44" i="9"/>
  <c r="AH27" i="9"/>
  <c r="AH14" i="9"/>
  <c r="AH16" i="9"/>
  <c r="W9" i="9"/>
  <c r="W18" i="8"/>
  <c r="W18" i="9"/>
  <c r="W34" i="9"/>
  <c r="W39" i="9"/>
  <c r="W44" i="9"/>
  <c r="W48" i="9"/>
  <c r="M14" i="7"/>
  <c r="R49" i="9"/>
  <c r="R36" i="9"/>
  <c r="R14" i="9"/>
  <c r="R21" i="9"/>
  <c r="R24" i="9"/>
  <c r="M7" i="7"/>
  <c r="M32" i="7"/>
  <c r="AI18" i="9"/>
  <c r="L14" i="9"/>
  <c r="Q30" i="9"/>
  <c r="M33" i="7"/>
  <c r="X43" i="9"/>
  <c r="U39" i="8"/>
  <c r="T39" i="29" s="1"/>
  <c r="T91" i="29" s="1"/>
  <c r="U39" i="9"/>
  <c r="P15" i="8"/>
  <c r="P15" i="9"/>
  <c r="AD29" i="7"/>
  <c r="AC29" i="9"/>
  <c r="AD29" i="9" s="1"/>
  <c r="AH35" i="9"/>
  <c r="AH19" i="9"/>
  <c r="W32" i="8"/>
  <c r="V32" i="29" s="1"/>
  <c r="V84" i="29" s="1"/>
  <c r="W32" i="9"/>
  <c r="R47" i="9"/>
  <c r="R29" i="9"/>
  <c r="D35" i="5"/>
  <c r="AI32" i="9"/>
  <c r="O6" i="9"/>
  <c r="AI11" i="9"/>
  <c r="O27" i="9"/>
  <c r="L48" i="9"/>
  <c r="L8" i="9"/>
  <c r="O11" i="11"/>
  <c r="O9" i="11"/>
  <c r="O7" i="11"/>
  <c r="O5" i="11"/>
  <c r="O16" i="11"/>
  <c r="O10" i="11"/>
  <c r="O8" i="11"/>
  <c r="O6" i="11"/>
  <c r="O22" i="11"/>
  <c r="O19" i="11"/>
  <c r="O34" i="11"/>
  <c r="O38" i="11"/>
  <c r="O39" i="11"/>
  <c r="O17" i="11"/>
  <c r="O27" i="11"/>
  <c r="O42" i="11"/>
  <c r="O12" i="11"/>
  <c r="O25" i="11"/>
  <c r="O35" i="11"/>
  <c r="O40" i="11"/>
  <c r="O21" i="11"/>
  <c r="O14" i="11"/>
  <c r="O15" i="11"/>
  <c r="O33" i="11"/>
  <c r="O18" i="11"/>
  <c r="O20" i="11"/>
  <c r="O29" i="11"/>
  <c r="O23" i="11"/>
  <c r="O24" i="11"/>
  <c r="O41" i="11"/>
  <c r="O26" i="11"/>
  <c r="O28" i="11"/>
  <c r="O32" i="11"/>
  <c r="O36" i="11"/>
  <c r="O13" i="11"/>
  <c r="O31" i="11"/>
  <c r="O30" i="11"/>
  <c r="O37" i="11"/>
  <c r="V49" i="7"/>
  <c r="V42" i="7"/>
  <c r="V38" i="7"/>
  <c r="V34" i="7"/>
  <c r="V30" i="7"/>
  <c r="V26" i="7"/>
  <c r="V22" i="7"/>
  <c r="V51" i="7"/>
  <c r="V48" i="7"/>
  <c r="V45" i="7"/>
  <c r="V41" i="7"/>
  <c r="V37" i="7"/>
  <c r="V33" i="7"/>
  <c r="V29" i="7"/>
  <c r="AB29" i="7" s="1"/>
  <c r="V25" i="7"/>
  <c r="V47" i="7"/>
  <c r="V44" i="7"/>
  <c r="V40" i="7"/>
  <c r="V36" i="7"/>
  <c r="V32" i="7"/>
  <c r="V28" i="7"/>
  <c r="V24" i="7"/>
  <c r="V50" i="7"/>
  <c r="V43" i="7"/>
  <c r="V39" i="7"/>
  <c r="V35" i="7"/>
  <c r="V31" i="7"/>
  <c r="V27" i="7"/>
  <c r="V23" i="7"/>
  <c r="V46" i="7"/>
  <c r="V20" i="7"/>
  <c r="V16" i="7"/>
  <c r="AB16" i="7" s="1"/>
  <c r="V12" i="7"/>
  <c r="V8" i="7"/>
  <c r="V21" i="7"/>
  <c r="V19" i="7"/>
  <c r="V15" i="7"/>
  <c r="V11" i="7"/>
  <c r="V7" i="7"/>
  <c r="V18" i="7"/>
  <c r="V14" i="7"/>
  <c r="V10" i="7"/>
  <c r="V6" i="7"/>
  <c r="V17" i="7"/>
  <c r="AB17" i="7" s="1"/>
  <c r="V13" i="7"/>
  <c r="V9" i="7"/>
  <c r="V5" i="7"/>
  <c r="O48" i="9"/>
  <c r="AI36" i="9"/>
  <c r="O16" i="9"/>
  <c r="O14" i="9"/>
  <c r="AI38" i="9"/>
  <c r="AI17" i="8"/>
  <c r="AE17" i="29" s="1"/>
  <c r="AE69" i="29" s="1"/>
  <c r="AI17" i="9"/>
  <c r="AI19" i="9"/>
  <c r="O45" i="9"/>
  <c r="O28" i="9"/>
  <c r="O35" i="9"/>
  <c r="L12" i="9"/>
  <c r="L18" i="9"/>
  <c r="L33" i="9"/>
  <c r="L9" i="9"/>
  <c r="L21" i="9"/>
  <c r="Q49" i="9"/>
  <c r="Q43" i="9"/>
  <c r="Q35" i="9"/>
  <c r="Q11" i="9"/>
  <c r="Q5" i="9"/>
  <c r="Q53" i="7"/>
  <c r="Q58" i="7" s="1"/>
  <c r="Q36" i="8" s="1"/>
  <c r="Q36" i="29" s="1"/>
  <c r="Q88" i="29" s="1"/>
  <c r="Q22" i="9"/>
  <c r="X16" i="9"/>
  <c r="X10" i="9"/>
  <c r="X26" i="9"/>
  <c r="X27" i="9"/>
  <c r="X32" i="9"/>
  <c r="X33" i="9"/>
  <c r="U17" i="8"/>
  <c r="T17" i="29" s="1"/>
  <c r="T69" i="29" s="1"/>
  <c r="U17" i="9"/>
  <c r="U35" i="9"/>
  <c r="U16" i="9"/>
  <c r="U24" i="9"/>
  <c r="U29" i="9"/>
  <c r="U30" i="9"/>
  <c r="P47" i="9"/>
  <c r="P46" i="9"/>
  <c r="P30" i="8"/>
  <c r="P30" i="9"/>
  <c r="P12" i="9"/>
  <c r="P17" i="9"/>
  <c r="P7" i="9"/>
  <c r="M48" i="7"/>
  <c r="AD35" i="7"/>
  <c r="AC35" i="9"/>
  <c r="AD35" i="9" s="1"/>
  <c r="AD39" i="7"/>
  <c r="AC39" i="9"/>
  <c r="AD39" i="9" s="1"/>
  <c r="AD45" i="7"/>
  <c r="AC45" i="9"/>
  <c r="AD45" i="9" s="1"/>
  <c r="AD14" i="7"/>
  <c r="AC14" i="9"/>
  <c r="AD14" i="9" s="1"/>
  <c r="AD16" i="7"/>
  <c r="AC16" i="9"/>
  <c r="AD16" i="9" s="1"/>
  <c r="M20" i="7"/>
  <c r="AH49" i="9"/>
  <c r="AH51" i="9"/>
  <c r="AH43" i="9"/>
  <c r="AH33" i="9"/>
  <c r="AH18" i="9"/>
  <c r="AH20" i="9"/>
  <c r="W38" i="8"/>
  <c r="W38" i="9"/>
  <c r="W42" i="8"/>
  <c r="W42" i="9"/>
  <c r="W8" i="8"/>
  <c r="W8" i="9"/>
  <c r="W43" i="8"/>
  <c r="V43" i="29" s="1"/>
  <c r="V95" i="29" s="1"/>
  <c r="W43" i="9"/>
  <c r="W47" i="8"/>
  <c r="W47" i="9"/>
  <c r="W51" i="8"/>
  <c r="W51" i="9"/>
  <c r="R45" i="9"/>
  <c r="R48" i="9"/>
  <c r="R43" i="9"/>
  <c r="R18" i="9"/>
  <c r="R12" i="9"/>
  <c r="R13" i="9"/>
  <c r="M28" i="7"/>
  <c r="M19" i="7"/>
  <c r="M15" i="7"/>
  <c r="M10" i="7"/>
  <c r="M6" i="7"/>
  <c r="M9" i="7"/>
  <c r="M5" i="7"/>
  <c r="M16" i="7"/>
  <c r="V54" i="8"/>
  <c r="V58" i="8" s="1"/>
  <c r="V54" i="9"/>
  <c r="V54" i="7"/>
  <c r="T16" i="11"/>
  <c r="T10" i="11"/>
  <c r="T8" i="11"/>
  <c r="T6" i="11"/>
  <c r="T11" i="11"/>
  <c r="T9" i="11"/>
  <c r="T7" i="11"/>
  <c r="T5" i="11"/>
  <c r="T21" i="11"/>
  <c r="T28" i="11"/>
  <c r="T30" i="11"/>
  <c r="T31" i="11"/>
  <c r="T17" i="11"/>
  <c r="T42" i="11"/>
  <c r="T25" i="11"/>
  <c r="T35" i="11"/>
  <c r="T15" i="11"/>
  <c r="T12" i="11"/>
  <c r="T24" i="11"/>
  <c r="T18" i="11"/>
  <c r="T40" i="11"/>
  <c r="T36" i="11"/>
  <c r="T37" i="11"/>
  <c r="T19" i="11"/>
  <c r="T29" i="11"/>
  <c r="T13" i="11"/>
  <c r="T14" i="11"/>
  <c r="T32" i="11"/>
  <c r="T26" i="11"/>
  <c r="T33" i="11"/>
  <c r="T38" i="11"/>
  <c r="T20" i="11"/>
  <c r="T27" i="11"/>
  <c r="T41" i="11"/>
  <c r="T34" i="11"/>
  <c r="T22" i="11"/>
  <c r="T23" i="11"/>
  <c r="T39" i="11"/>
  <c r="AI30" i="9"/>
  <c r="O20" i="9"/>
  <c r="O18" i="9"/>
  <c r="AI49" i="9"/>
  <c r="AI6" i="9"/>
  <c r="AI20" i="9"/>
  <c r="AI46" i="8"/>
  <c r="AI46" i="9"/>
  <c r="M25" i="7"/>
  <c r="O36" i="9"/>
  <c r="M34" i="7"/>
  <c r="L11" i="9"/>
  <c r="L25" i="8"/>
  <c r="L25" i="29" s="1"/>
  <c r="L77" i="29" s="1"/>
  <c r="L25" i="9"/>
  <c r="L32" i="9"/>
  <c r="L13" i="9"/>
  <c r="L23" i="9"/>
  <c r="Q17" i="9"/>
  <c r="Q42" i="9"/>
  <c r="Q34" i="9"/>
  <c r="Q44" i="9"/>
  <c r="Q9" i="9"/>
  <c r="Q26" i="9"/>
  <c r="X20" i="9"/>
  <c r="X14" i="9"/>
  <c r="X30" i="9"/>
  <c r="X31" i="9"/>
  <c r="X36" i="9"/>
  <c r="X37" i="9"/>
  <c r="U31" i="8"/>
  <c r="T31" i="29" s="1"/>
  <c r="T83" i="29" s="1"/>
  <c r="U31" i="9"/>
  <c r="U11" i="9"/>
  <c r="U20" i="9"/>
  <c r="U28" i="9"/>
  <c r="U33" i="9"/>
  <c r="U34" i="9"/>
  <c r="P51" i="9"/>
  <c r="P44" i="9"/>
  <c r="P37" i="9"/>
  <c r="P16" i="9"/>
  <c r="P23" i="9"/>
  <c r="P22" i="9"/>
  <c r="AD50" i="7"/>
  <c r="AC50" i="9"/>
  <c r="AD50" i="9" s="1"/>
  <c r="AD42" i="7"/>
  <c r="AC42" i="9"/>
  <c r="AD42" i="9" s="1"/>
  <c r="AD21" i="7"/>
  <c r="AC21" i="9"/>
  <c r="AD21" i="9" s="1"/>
  <c r="AD51" i="7"/>
  <c r="AC51" i="9"/>
  <c r="AD51" i="9" s="1"/>
  <c r="AD18" i="7"/>
  <c r="AC18" i="9"/>
  <c r="AD18" i="9" s="1"/>
  <c r="AD5" i="7"/>
  <c r="AC5" i="9"/>
  <c r="AC53" i="7"/>
  <c r="AC58" i="7" s="1"/>
  <c r="AC27" i="8" s="1"/>
  <c r="AA27" i="29" s="1"/>
  <c r="AA79" i="29" s="1"/>
  <c r="M36" i="7"/>
  <c r="AH42" i="9"/>
  <c r="AH46" i="9"/>
  <c r="AH38" i="9"/>
  <c r="AH5" i="9"/>
  <c r="AH53" i="7"/>
  <c r="AH58" i="7" s="1"/>
  <c r="AH21" i="8" s="1"/>
  <c r="AD21" i="29" s="1"/>
  <c r="AD73" i="29" s="1"/>
  <c r="AH7" i="9"/>
  <c r="AH25" i="9"/>
  <c r="S47" i="12"/>
  <c r="S47" i="10"/>
  <c r="S47" i="13"/>
  <c r="S47" i="11"/>
  <c r="W13" i="8"/>
  <c r="W13" i="9"/>
  <c r="W7" i="8"/>
  <c r="W7" i="9"/>
  <c r="W22" i="8"/>
  <c r="V22" i="29" s="1"/>
  <c r="V74" i="29" s="1"/>
  <c r="W22" i="9"/>
  <c r="W50" i="8"/>
  <c r="V50" i="29" s="1"/>
  <c r="V102" i="29" s="1"/>
  <c r="W50" i="9"/>
  <c r="W25" i="8"/>
  <c r="W25" i="9"/>
  <c r="M23" i="7"/>
  <c r="R42" i="9"/>
  <c r="R31" i="9"/>
  <c r="R35" i="9"/>
  <c r="R7" i="9"/>
  <c r="R16" i="9"/>
  <c r="R17" i="9"/>
  <c r="M12" i="7"/>
  <c r="AA53" i="8"/>
  <c r="M31" i="7"/>
  <c r="N54" i="8"/>
  <c r="N58" i="8" s="1"/>
  <c r="N54" i="9"/>
  <c r="N54" i="7"/>
  <c r="O32" i="9"/>
  <c r="AI27" i="8"/>
  <c r="AI27" i="9"/>
  <c r="O22" i="9"/>
  <c r="L50" i="8"/>
  <c r="L50" i="9"/>
  <c r="Q10" i="9"/>
  <c r="AB49" i="7"/>
  <c r="U49" i="9"/>
  <c r="O23" i="9"/>
  <c r="Y54" i="8"/>
  <c r="Y58" i="8" s="1"/>
  <c r="Y54" i="9"/>
  <c r="Y54" i="7"/>
  <c r="U11" i="11"/>
  <c r="U9" i="11"/>
  <c r="U7" i="11"/>
  <c r="U5" i="11"/>
  <c r="U32" i="11"/>
  <c r="U24" i="11"/>
  <c r="U16" i="11"/>
  <c r="U14" i="11"/>
  <c r="U12" i="11"/>
  <c r="U10" i="11"/>
  <c r="U8" i="11"/>
  <c r="U6" i="11"/>
  <c r="U21" i="11"/>
  <c r="U31" i="11"/>
  <c r="U26" i="11"/>
  <c r="U28" i="11"/>
  <c r="U37" i="11"/>
  <c r="U22" i="11"/>
  <c r="U17" i="11"/>
  <c r="U30" i="11"/>
  <c r="U25" i="11"/>
  <c r="U36" i="11"/>
  <c r="U33" i="11"/>
  <c r="U19" i="11"/>
  <c r="U41" i="11"/>
  <c r="U27" i="11"/>
  <c r="U35" i="11"/>
  <c r="U34" i="11"/>
  <c r="U38" i="11"/>
  <c r="U23" i="11"/>
  <c r="U42" i="11"/>
  <c r="U13" i="11"/>
  <c r="U39" i="11"/>
  <c r="U29" i="11"/>
  <c r="U20" i="11"/>
  <c r="U18" i="11"/>
  <c r="U40" i="11"/>
  <c r="U15" i="11"/>
  <c r="AI22" i="9"/>
  <c r="O46" i="9"/>
  <c r="O5" i="9"/>
  <c r="O53" i="7"/>
  <c r="O58" i="7" s="1"/>
  <c r="O7" i="9"/>
  <c r="AI12" i="9"/>
  <c r="AI10" i="9"/>
  <c r="AI8" i="9"/>
  <c r="AI43" i="8"/>
  <c r="AI43" i="9"/>
  <c r="O24" i="9"/>
  <c r="AI37" i="9"/>
  <c r="AI45" i="8"/>
  <c r="AI45" i="9"/>
  <c r="M22" i="7"/>
  <c r="L17" i="9"/>
  <c r="L37" i="9"/>
  <c r="L42" i="8"/>
  <c r="L42" i="29" s="1"/>
  <c r="L94" i="29" s="1"/>
  <c r="L42" i="9"/>
  <c r="L31" i="9"/>
  <c r="L6" i="9"/>
  <c r="L27" i="9"/>
  <c r="Q51" i="8"/>
  <c r="Q51" i="29" s="1"/>
  <c r="Q103" i="29" s="1"/>
  <c r="Q51" i="9"/>
  <c r="Q40" i="9"/>
  <c r="Q32" i="9"/>
  <c r="Q31" i="9"/>
  <c r="Q13" i="8"/>
  <c r="Q13" i="29" s="1"/>
  <c r="Q65" i="29" s="1"/>
  <c r="Q13" i="9"/>
  <c r="Q23" i="9"/>
  <c r="X8" i="9"/>
  <c r="X18" i="9"/>
  <c r="X34" i="9"/>
  <c r="X35" i="9"/>
  <c r="X40" i="9"/>
  <c r="X41" i="9"/>
  <c r="U6" i="9"/>
  <c r="U15" i="8"/>
  <c r="U15" i="9"/>
  <c r="AB15" i="7"/>
  <c r="U22" i="8"/>
  <c r="U22" i="9"/>
  <c r="U32" i="9"/>
  <c r="U37" i="9"/>
  <c r="U38" i="9"/>
  <c r="P39" i="9"/>
  <c r="P43" i="9"/>
  <c r="P34" i="9"/>
  <c r="P20" i="8"/>
  <c r="P20" i="9"/>
  <c r="P24" i="9"/>
  <c r="P26" i="9"/>
  <c r="AD28" i="7"/>
  <c r="AC28" i="9"/>
  <c r="AD28" i="9" s="1"/>
  <c r="AD41" i="7"/>
  <c r="AC41" i="9"/>
  <c r="AD41" i="9" s="1"/>
  <c r="AD26" i="7"/>
  <c r="AC26" i="9"/>
  <c r="AD26" i="9" s="1"/>
  <c r="AD44" i="7"/>
  <c r="AC44" i="9"/>
  <c r="AD44" i="9" s="1"/>
  <c r="AD7" i="7"/>
  <c r="AC7" i="9"/>
  <c r="AD7" i="9" s="1"/>
  <c r="AD9" i="7"/>
  <c r="AC9" i="9"/>
  <c r="AD9" i="9" s="1"/>
  <c r="M46" i="7"/>
  <c r="AH47" i="9"/>
  <c r="AH26" i="9"/>
  <c r="AH32" i="9"/>
  <c r="AH9" i="9"/>
  <c r="AH11" i="9"/>
  <c r="M8" i="7"/>
  <c r="W12" i="8"/>
  <c r="W12" i="9"/>
  <c r="W17" i="8"/>
  <c r="V17" i="29" s="1"/>
  <c r="V69" i="29" s="1"/>
  <c r="W17" i="9"/>
  <c r="W49" i="8"/>
  <c r="W49" i="9"/>
  <c r="W46" i="8"/>
  <c r="W46" i="9"/>
  <c r="W24" i="8"/>
  <c r="V24" i="29" s="1"/>
  <c r="V76" i="29" s="1"/>
  <c r="W24" i="9"/>
  <c r="W29" i="8"/>
  <c r="V29" i="29" s="1"/>
  <c r="V81" i="29" s="1"/>
  <c r="W29" i="9"/>
  <c r="M43" i="7"/>
  <c r="S46" i="13"/>
  <c r="S46" i="12"/>
  <c r="S46" i="10"/>
  <c r="S46" i="11"/>
  <c r="R40" i="9"/>
  <c r="R32" i="9"/>
  <c r="R38" i="9"/>
  <c r="R28" i="9"/>
  <c r="R20" i="9"/>
  <c r="R6" i="9"/>
  <c r="M27" i="7"/>
  <c r="O13" i="9"/>
  <c r="AI29" i="9"/>
  <c r="L28" i="9"/>
  <c r="Q7" i="9"/>
  <c r="X9" i="9"/>
  <c r="X48" i="9"/>
  <c r="U45" i="9"/>
  <c r="P25" i="9"/>
  <c r="AD31" i="7"/>
  <c r="AC31" i="9"/>
  <c r="AD31" i="9" s="1"/>
  <c r="AH48" i="9"/>
  <c r="W20" i="8"/>
  <c r="V20" i="29" s="1"/>
  <c r="V72" i="29" s="1"/>
  <c r="W20" i="9"/>
  <c r="Z11" i="11"/>
  <c r="Z9" i="11"/>
  <c r="Z7" i="11"/>
  <c r="Z5" i="11"/>
  <c r="Z16" i="11"/>
  <c r="Z10" i="11"/>
  <c r="Z8" i="11"/>
  <c r="Z6" i="11"/>
  <c r="Z31" i="11"/>
  <c r="Z25" i="11"/>
  <c r="Z17" i="11"/>
  <c r="Z18" i="11"/>
  <c r="Z38" i="11"/>
  <c r="Z42" i="11"/>
  <c r="Z35" i="11"/>
  <c r="Z36" i="11"/>
  <c r="Z21" i="11"/>
  <c r="Z14" i="11"/>
  <c r="Z29" i="11"/>
  <c r="Z23" i="11"/>
  <c r="Z19" i="11"/>
  <c r="Z37" i="11"/>
  <c r="Z13" i="11"/>
  <c r="Z15" i="11"/>
  <c r="Z40" i="11"/>
  <c r="Z27" i="11"/>
  <c r="Z22" i="11"/>
  <c r="Z24" i="11"/>
  <c r="Z33" i="11"/>
  <c r="Z20" i="11"/>
  <c r="Z30" i="11"/>
  <c r="Z32" i="11"/>
  <c r="Z41" i="11"/>
  <c r="Z28" i="11"/>
  <c r="Z12" i="11"/>
  <c r="Z34" i="11"/>
  <c r="Z26" i="11"/>
  <c r="Z39" i="11"/>
  <c r="O49" i="9"/>
  <c r="O39" i="9"/>
  <c r="O9" i="9"/>
  <c r="O11" i="8"/>
  <c r="O11" i="9"/>
  <c r="AI16" i="9"/>
  <c r="AI14" i="9"/>
  <c r="AI25" i="8"/>
  <c r="AI25" i="9"/>
  <c r="M13" i="7"/>
  <c r="AI40" i="9"/>
  <c r="AI39" i="8"/>
  <c r="AI39" i="9"/>
  <c r="O30" i="9"/>
  <c r="L43" i="8"/>
  <c r="L43" i="29" s="1"/>
  <c r="L95" i="29" s="1"/>
  <c r="L43" i="9"/>
  <c r="L36" i="9"/>
  <c r="L41" i="9"/>
  <c r="L38" i="9"/>
  <c r="L10" i="8"/>
  <c r="L10" i="9"/>
  <c r="L24" i="9"/>
  <c r="Q50" i="9"/>
  <c r="Q38" i="9"/>
  <c r="Q47" i="9"/>
  <c r="Q41" i="9"/>
  <c r="Q6" i="9"/>
  <c r="Q27" i="9"/>
  <c r="X5" i="9"/>
  <c r="X53" i="7"/>
  <c r="X58" i="7" s="1"/>
  <c r="X13" i="8" s="1"/>
  <c r="W13" i="29" s="1"/>
  <c r="W65" i="29" s="1"/>
  <c r="X7" i="9"/>
  <c r="X38" i="9"/>
  <c r="X39" i="9"/>
  <c r="X44" i="8"/>
  <c r="W44" i="29" s="1"/>
  <c r="W96" i="29" s="1"/>
  <c r="X44" i="9"/>
  <c r="X45" i="9"/>
  <c r="U43" i="9"/>
  <c r="U19" i="9"/>
  <c r="AB23" i="7"/>
  <c r="U23" i="9"/>
  <c r="U36" i="9"/>
  <c r="U41" i="9"/>
  <c r="U42" i="8"/>
  <c r="T42" i="29" s="1"/>
  <c r="T94" i="29" s="1"/>
  <c r="U42" i="9"/>
  <c r="P31" i="9"/>
  <c r="P48" i="9"/>
  <c r="P11" i="9"/>
  <c r="P21" i="8"/>
  <c r="P21" i="9"/>
  <c r="P6" i="9"/>
  <c r="P27" i="9"/>
  <c r="AD49" i="7"/>
  <c r="AC49" i="9"/>
  <c r="AD49" i="9" s="1"/>
  <c r="AD47" i="7"/>
  <c r="AC47" i="9"/>
  <c r="AD47" i="9" s="1"/>
  <c r="AD24" i="7"/>
  <c r="AC24" i="9"/>
  <c r="AD24" i="9" s="1"/>
  <c r="AD32" i="7"/>
  <c r="AC32" i="8"/>
  <c r="AA32" i="29" s="1"/>
  <c r="AA84" i="29" s="1"/>
  <c r="AC32" i="9"/>
  <c r="AD32" i="9" s="1"/>
  <c r="AD11" i="7"/>
  <c r="AC11" i="9"/>
  <c r="AD11" i="9" s="1"/>
  <c r="AD13" i="7"/>
  <c r="AC13" i="9"/>
  <c r="AD13" i="9" s="1"/>
  <c r="AH36" i="9"/>
  <c r="AH34" i="9"/>
  <c r="AH40" i="9"/>
  <c r="AH22" i="9"/>
  <c r="AH13" i="9"/>
  <c r="AH15" i="9"/>
  <c r="M45" i="7"/>
  <c r="W16" i="8"/>
  <c r="W16" i="9"/>
  <c r="W6" i="8"/>
  <c r="V6" i="29" s="1"/>
  <c r="V58" i="29" s="1"/>
  <c r="W6" i="9"/>
  <c r="W11" i="8"/>
  <c r="W11" i="9"/>
  <c r="W23" i="8"/>
  <c r="W23" i="9"/>
  <c r="W28" i="8"/>
  <c r="W28" i="9"/>
  <c r="W33" i="8"/>
  <c r="V33" i="29" s="1"/>
  <c r="V85" i="29" s="1"/>
  <c r="W33" i="9"/>
  <c r="M50" i="7"/>
  <c r="M11" i="7"/>
  <c r="R39" i="9"/>
  <c r="R41" i="9"/>
  <c r="R46" i="9"/>
  <c r="R11" i="9"/>
  <c r="R5" i="9"/>
  <c r="R53" i="7"/>
  <c r="R25" i="9"/>
  <c r="D10" i="5"/>
  <c r="T56" i="6" s="1"/>
  <c r="M10" i="32" l="1"/>
  <c r="AB28" i="7"/>
  <c r="AB8" i="7"/>
  <c r="O48" i="12"/>
  <c r="O48" i="11"/>
  <c r="V51" i="29"/>
  <c r="V103" i="29" s="1"/>
  <c r="T13" i="29"/>
  <c r="T65" i="29" s="1"/>
  <c r="M48" i="12"/>
  <c r="M48" i="11"/>
  <c r="U48" i="12"/>
  <c r="U48" i="11"/>
  <c r="V48" i="12"/>
  <c r="V48" i="11"/>
  <c r="V23" i="29"/>
  <c r="V75" i="29" s="1"/>
  <c r="V11" i="29"/>
  <c r="V63" i="29" s="1"/>
  <c r="P20" i="29"/>
  <c r="P72" i="29" s="1"/>
  <c r="T22" i="29"/>
  <c r="T74" i="29" s="1"/>
  <c r="V47" i="29"/>
  <c r="V99" i="29" s="1"/>
  <c r="V38" i="29"/>
  <c r="V90" i="29" s="1"/>
  <c r="W34" i="8"/>
  <c r="V34" i="29" s="1"/>
  <c r="V86" i="29" s="1"/>
  <c r="Z48" i="12"/>
  <c r="Z48" i="11"/>
  <c r="R14" i="11"/>
  <c r="R13" i="11"/>
  <c r="R11" i="11"/>
  <c r="R19" i="11"/>
  <c r="R24" i="11"/>
  <c r="R42" i="11"/>
  <c r="R9" i="11"/>
  <c r="R22" i="11"/>
  <c r="R18" i="11"/>
  <c r="R23" i="11"/>
  <c r="R15" i="11"/>
  <c r="R35" i="11"/>
  <c r="R28" i="11"/>
  <c r="R8" i="11"/>
  <c r="R26" i="11"/>
  <c r="R38" i="11"/>
  <c r="R34" i="11"/>
  <c r="R7" i="11"/>
  <c r="R16" i="11"/>
  <c r="R5" i="11"/>
  <c r="R25" i="11"/>
  <c r="R20" i="11"/>
  <c r="R37" i="11"/>
  <c r="R21" i="11"/>
  <c r="R10" i="11"/>
  <c r="R31" i="11"/>
  <c r="R27" i="11"/>
  <c r="R29" i="11"/>
  <c r="R36" i="11"/>
  <c r="R32" i="11"/>
  <c r="R12" i="11"/>
  <c r="R33" i="11"/>
  <c r="R40" i="11"/>
  <c r="R41" i="11"/>
  <c r="R39" i="11"/>
  <c r="R6" i="11"/>
  <c r="R17" i="11"/>
  <c r="R30" i="11"/>
  <c r="V12" i="29"/>
  <c r="V64" i="29" s="1"/>
  <c r="T25" i="29"/>
  <c r="T77" i="29" s="1"/>
  <c r="T51" i="29"/>
  <c r="T103" i="29" s="1"/>
  <c r="T10" i="29"/>
  <c r="T62" i="29" s="1"/>
  <c r="P49" i="10"/>
  <c r="V49" i="10"/>
  <c r="T48" i="11"/>
  <c r="T48" i="12"/>
  <c r="M49" i="10"/>
  <c r="T15" i="29"/>
  <c r="T67" i="29" s="1"/>
  <c r="L50" i="29"/>
  <c r="L102" i="29" s="1"/>
  <c r="V25" i="29"/>
  <c r="V77" i="29" s="1"/>
  <c r="V13" i="29"/>
  <c r="V65" i="29" s="1"/>
  <c r="P48" i="12"/>
  <c r="P48" i="11"/>
  <c r="AE39" i="29"/>
  <c r="AE91" i="29" s="1"/>
  <c r="O11" i="29"/>
  <c r="O63" i="29" s="1"/>
  <c r="AE43" i="29"/>
  <c r="AE95" i="29" s="1"/>
  <c r="W48" i="8"/>
  <c r="N48" i="11"/>
  <c r="N48" i="12"/>
  <c r="O14" i="31"/>
  <c r="P14" i="31"/>
  <c r="M6" i="32"/>
  <c r="Q42" i="8"/>
  <c r="Q42" i="29" s="1"/>
  <c r="Q94" i="29" s="1"/>
  <c r="V28" i="29"/>
  <c r="V80" i="29" s="1"/>
  <c r="V16" i="29"/>
  <c r="V68" i="29" s="1"/>
  <c r="U23" i="8"/>
  <c r="T23" i="29" s="1"/>
  <c r="T75" i="29" s="1"/>
  <c r="Q27" i="8"/>
  <c r="Q27" i="29" s="1"/>
  <c r="Q79" i="29" s="1"/>
  <c r="Q38" i="8"/>
  <c r="Q38" i="29" s="1"/>
  <c r="Q90" i="29" s="1"/>
  <c r="Q10" i="8"/>
  <c r="Q10" i="29" s="1"/>
  <c r="Q62" i="29" s="1"/>
  <c r="AE27" i="29"/>
  <c r="AE79" i="29" s="1"/>
  <c r="V7" i="29"/>
  <c r="V59" i="29" s="1"/>
  <c r="U28" i="8"/>
  <c r="T28" i="29" s="1"/>
  <c r="T80" i="29" s="1"/>
  <c r="V8" i="29"/>
  <c r="V60" i="29" s="1"/>
  <c r="P15" i="29"/>
  <c r="P67" i="29" s="1"/>
  <c r="P13" i="29"/>
  <c r="P65" i="29" s="1"/>
  <c r="U26" i="8"/>
  <c r="T26" i="29" s="1"/>
  <c r="T78" i="29" s="1"/>
  <c r="U7" i="8"/>
  <c r="T7" i="29" s="1"/>
  <c r="T59" i="29" s="1"/>
  <c r="AE7" i="29"/>
  <c r="AE59" i="29" s="1"/>
  <c r="AC13" i="8"/>
  <c r="AA13" i="29" s="1"/>
  <c r="AA65" i="29" s="1"/>
  <c r="AC49" i="8"/>
  <c r="AC31" i="8"/>
  <c r="AA31" i="29" s="1"/>
  <c r="AA83" i="29" s="1"/>
  <c r="Q7" i="8"/>
  <c r="Q7" i="29" s="1"/>
  <c r="Q59" i="29" s="1"/>
  <c r="U38" i="8"/>
  <c r="T38" i="29" s="1"/>
  <c r="T90" i="29" s="1"/>
  <c r="Q31" i="8"/>
  <c r="Q31" i="29" s="1"/>
  <c r="Q83" i="29" s="1"/>
  <c r="Q9" i="8"/>
  <c r="Q9" i="29" s="1"/>
  <c r="Q61" i="29" s="1"/>
  <c r="Q17" i="8"/>
  <c r="Q17" i="29" s="1"/>
  <c r="Q69" i="29" s="1"/>
  <c r="U30" i="8"/>
  <c r="T30" i="29" s="1"/>
  <c r="T82" i="29" s="1"/>
  <c r="U16" i="8"/>
  <c r="T16" i="29" s="1"/>
  <c r="T68" i="29" s="1"/>
  <c r="V48" i="29"/>
  <c r="V100" i="29" s="1"/>
  <c r="V18" i="29"/>
  <c r="V70" i="29" s="1"/>
  <c r="U47" i="8"/>
  <c r="T47" i="29" s="1"/>
  <c r="T99" i="29" s="1"/>
  <c r="P10" i="29"/>
  <c r="P62" i="29" s="1"/>
  <c r="AC28" i="8"/>
  <c r="AA28" i="29" s="1"/>
  <c r="AA80" i="29" s="1"/>
  <c r="Q26" i="8"/>
  <c r="Q26" i="29" s="1"/>
  <c r="Q78" i="29" s="1"/>
  <c r="AC24" i="8"/>
  <c r="AA24" i="29" s="1"/>
  <c r="AA76" i="29" s="1"/>
  <c r="Q50" i="8"/>
  <c r="Q50" i="29" s="1"/>
  <c r="Q102" i="29" s="1"/>
  <c r="U19" i="8"/>
  <c r="T19" i="29" s="1"/>
  <c r="T71" i="29" s="1"/>
  <c r="V46" i="29"/>
  <c r="V98" i="29" s="1"/>
  <c r="AC9" i="8"/>
  <c r="AA9" i="29" s="1"/>
  <c r="AA61" i="29" s="1"/>
  <c r="U37" i="8"/>
  <c r="T37" i="29" s="1"/>
  <c r="T89" i="29" s="1"/>
  <c r="Q32" i="8"/>
  <c r="Q32" i="29" s="1"/>
  <c r="Q84" i="29" s="1"/>
  <c r="U34" i="8"/>
  <c r="T34" i="29" s="1"/>
  <c r="T86" i="29" s="1"/>
  <c r="U20" i="8"/>
  <c r="T20" i="29" s="1"/>
  <c r="T72" i="29" s="1"/>
  <c r="Q44" i="8"/>
  <c r="Q44" i="29" s="1"/>
  <c r="Q96" i="29" s="1"/>
  <c r="AE46" i="29"/>
  <c r="AE98" i="29" s="1"/>
  <c r="V42" i="29"/>
  <c r="V94" i="29" s="1"/>
  <c r="U29" i="8"/>
  <c r="T29" i="29" s="1"/>
  <c r="T81" i="29" s="1"/>
  <c r="U35" i="8"/>
  <c r="T35" i="29" s="1"/>
  <c r="T87" i="29" s="1"/>
  <c r="W44" i="8"/>
  <c r="V44" i="29" s="1"/>
  <c r="V96" i="29" s="1"/>
  <c r="W9" i="8"/>
  <c r="V9" i="29" s="1"/>
  <c r="V61" i="29" s="1"/>
  <c r="U21" i="8"/>
  <c r="T21" i="29" s="1"/>
  <c r="T73" i="29" s="1"/>
  <c r="U9" i="8"/>
  <c r="T9" i="29" s="1"/>
  <c r="T61" i="29" s="1"/>
  <c r="AC26" i="8"/>
  <c r="AA26" i="29" s="1"/>
  <c r="AA78" i="29" s="1"/>
  <c r="AC11" i="8"/>
  <c r="AA11" i="29" s="1"/>
  <c r="AA63" i="29" s="1"/>
  <c r="U41" i="8"/>
  <c r="T41" i="29" s="1"/>
  <c r="T93" i="29" s="1"/>
  <c r="Q41" i="8"/>
  <c r="Q41" i="29" s="1"/>
  <c r="Q93" i="29" s="1"/>
  <c r="U6" i="8"/>
  <c r="T6" i="29" s="1"/>
  <c r="T58" i="29" s="1"/>
  <c r="AB42" i="7"/>
  <c r="AB35" i="7"/>
  <c r="U50" i="8"/>
  <c r="T50" i="29" s="1"/>
  <c r="T102" i="29" s="1"/>
  <c r="U5" i="8"/>
  <c r="T5" i="29" s="1"/>
  <c r="T57" i="29" s="1"/>
  <c r="Q6" i="8"/>
  <c r="Q6" i="29" s="1"/>
  <c r="Q58" i="29" s="1"/>
  <c r="AC47" i="8"/>
  <c r="AA47" i="29" s="1"/>
  <c r="AA99" i="29" s="1"/>
  <c r="U43" i="8"/>
  <c r="T43" i="29" s="1"/>
  <c r="T95" i="29" s="1"/>
  <c r="L10" i="29"/>
  <c r="L62" i="29" s="1"/>
  <c r="AE25" i="29"/>
  <c r="AE77" i="29" s="1"/>
  <c r="U45" i="8"/>
  <c r="T45" i="29" s="1"/>
  <c r="T97" i="29" s="1"/>
  <c r="V49" i="29"/>
  <c r="V101" i="29" s="1"/>
  <c r="AC7" i="8"/>
  <c r="AA7" i="29" s="1"/>
  <c r="AA59" i="29" s="1"/>
  <c r="U32" i="8"/>
  <c r="T32" i="29" s="1"/>
  <c r="T84" i="29" s="1"/>
  <c r="AB6" i="7"/>
  <c r="Q23" i="8"/>
  <c r="Q23" i="29" s="1"/>
  <c r="Q75" i="29" s="1"/>
  <c r="Q40" i="8"/>
  <c r="Q40" i="29" s="1"/>
  <c r="Q92" i="29" s="1"/>
  <c r="AE45" i="29"/>
  <c r="AE97" i="29" s="1"/>
  <c r="U49" i="8"/>
  <c r="T49" i="29" s="1"/>
  <c r="T101" i="29" s="1"/>
  <c r="U33" i="8"/>
  <c r="T33" i="29" s="1"/>
  <c r="T85" i="29" s="1"/>
  <c r="U11" i="8"/>
  <c r="T11" i="29" s="1"/>
  <c r="T63" i="29" s="1"/>
  <c r="Q34" i="8"/>
  <c r="Q34" i="29" s="1"/>
  <c r="Q86" i="29" s="1"/>
  <c r="P30" i="29"/>
  <c r="P82" i="29" s="1"/>
  <c r="W39" i="8"/>
  <c r="V39" i="29" s="1"/>
  <c r="V91" i="29" s="1"/>
  <c r="AI15" i="8"/>
  <c r="AE15" i="29" s="1"/>
  <c r="AE67" i="29" s="1"/>
  <c r="U27" i="8"/>
  <c r="T27" i="29" s="1"/>
  <c r="T79" i="29" s="1"/>
  <c r="U36" i="8"/>
  <c r="T36" i="29" s="1"/>
  <c r="T88" i="29" s="1"/>
  <c r="AB43" i="7"/>
  <c r="Q47" i="8"/>
  <c r="Q47" i="29" s="1"/>
  <c r="Q99" i="29" s="1"/>
  <c r="AB33" i="7"/>
  <c r="U24" i="8"/>
  <c r="T24" i="29" s="1"/>
  <c r="T76" i="29" s="1"/>
  <c r="AB37" i="7"/>
  <c r="AB34" i="7"/>
  <c r="U12" i="8"/>
  <c r="T12" i="29" s="1"/>
  <c r="T64" i="29" s="1"/>
  <c r="P13" i="31"/>
  <c r="O13" i="31"/>
  <c r="L28" i="8"/>
  <c r="L28" i="29" s="1"/>
  <c r="L80" i="29" s="1"/>
  <c r="AD26" i="8"/>
  <c r="L18" i="8"/>
  <c r="L18" i="29" s="1"/>
  <c r="L70" i="29" s="1"/>
  <c r="AB41" i="7"/>
  <c r="AB38" i="7"/>
  <c r="L38" i="8"/>
  <c r="L38" i="29" s="1"/>
  <c r="L90" i="29" s="1"/>
  <c r="AD9" i="8"/>
  <c r="L27" i="8"/>
  <c r="L27" i="29" s="1"/>
  <c r="L79" i="29" s="1"/>
  <c r="L37" i="8"/>
  <c r="L37" i="29" s="1"/>
  <c r="L89" i="29" s="1"/>
  <c r="L23" i="8"/>
  <c r="L23" i="29" s="1"/>
  <c r="L75" i="29" s="1"/>
  <c r="L11" i="8"/>
  <c r="L11" i="29" s="1"/>
  <c r="L63" i="29" s="1"/>
  <c r="Q22" i="8"/>
  <c r="Q22" i="29" s="1"/>
  <c r="Q74" i="29" s="1"/>
  <c r="AB10" i="7"/>
  <c r="Q30" i="8"/>
  <c r="Q30" i="29" s="1"/>
  <c r="Q82" i="29" s="1"/>
  <c r="L21" i="8"/>
  <c r="L21" i="29" s="1"/>
  <c r="L73" i="29" s="1"/>
  <c r="L12" i="8"/>
  <c r="L12" i="29" s="1"/>
  <c r="L64" i="29" s="1"/>
  <c r="AB14" i="7"/>
  <c r="L8" i="8"/>
  <c r="L8" i="29" s="1"/>
  <c r="L60" i="29" s="1"/>
  <c r="AD24" i="8"/>
  <c r="AD7" i="8"/>
  <c r="L6" i="8"/>
  <c r="L6" i="29" s="1"/>
  <c r="L58" i="29" s="1"/>
  <c r="L17" i="8"/>
  <c r="L17" i="29" s="1"/>
  <c r="L69" i="29" s="1"/>
  <c r="O25" i="8"/>
  <c r="O25" i="29" s="1"/>
  <c r="O77" i="29" s="1"/>
  <c r="O26" i="8"/>
  <c r="O26" i="29" s="1"/>
  <c r="O78" i="29" s="1"/>
  <c r="L13" i="8"/>
  <c r="L13" i="29" s="1"/>
  <c r="L65" i="29" s="1"/>
  <c r="AB18" i="7"/>
  <c r="L7" i="8"/>
  <c r="L7" i="29" s="1"/>
  <c r="L59" i="29" s="1"/>
  <c r="L40" i="8"/>
  <c r="L40" i="29" s="1"/>
  <c r="L92" i="29" s="1"/>
  <c r="AD13" i="8"/>
  <c r="L41" i="8"/>
  <c r="L41" i="29" s="1"/>
  <c r="L93" i="29" s="1"/>
  <c r="AD11" i="8"/>
  <c r="AB19" i="7"/>
  <c r="AD27" i="8"/>
  <c r="L9" i="8"/>
  <c r="L9" i="29" s="1"/>
  <c r="L61" i="29" s="1"/>
  <c r="AB5" i="7"/>
  <c r="AB7" i="7"/>
  <c r="AB50" i="7"/>
  <c r="AB22" i="7"/>
  <c r="L48" i="8"/>
  <c r="L48" i="29" s="1"/>
  <c r="L100" i="29" s="1"/>
  <c r="AD47" i="8"/>
  <c r="L24" i="8"/>
  <c r="L24" i="29" s="1"/>
  <c r="L76" i="29" s="1"/>
  <c r="L36" i="8"/>
  <c r="L36" i="29" s="1"/>
  <c r="L88" i="29" s="1"/>
  <c r="AD28" i="8"/>
  <c r="AB32" i="7"/>
  <c r="L31" i="8"/>
  <c r="L31" i="29" s="1"/>
  <c r="L83" i="29" s="1"/>
  <c r="L32" i="8"/>
  <c r="L32" i="29" s="1"/>
  <c r="L84" i="29" s="1"/>
  <c r="AB9" i="7"/>
  <c r="AB46" i="7"/>
  <c r="AB26" i="7"/>
  <c r="AD32" i="8"/>
  <c r="AD31" i="8"/>
  <c r="Q35" i="8"/>
  <c r="Q35" i="29" s="1"/>
  <c r="Q87" i="29" s="1"/>
  <c r="L33" i="8"/>
  <c r="L33" i="29" s="1"/>
  <c r="L85" i="29" s="1"/>
  <c r="AB13" i="7"/>
  <c r="L16" i="8"/>
  <c r="L16" i="29" s="1"/>
  <c r="L68" i="29" s="1"/>
  <c r="U8" i="8"/>
  <c r="T8" i="29" s="1"/>
  <c r="T60" i="29" s="1"/>
  <c r="U46" i="8"/>
  <c r="T46" i="29" s="1"/>
  <c r="T98" i="29" s="1"/>
  <c r="AB24" i="7"/>
  <c r="AI49" i="8"/>
  <c r="AE49" i="29" s="1"/>
  <c r="AE101" i="29" s="1"/>
  <c r="AI19" i="8"/>
  <c r="AE19" i="29" s="1"/>
  <c r="AE71" i="29" s="1"/>
  <c r="AI36" i="8"/>
  <c r="AE36" i="29" s="1"/>
  <c r="AE88" i="29" s="1"/>
  <c r="AI14" i="8"/>
  <c r="AE14" i="29" s="1"/>
  <c r="AE66" i="29" s="1"/>
  <c r="AI8" i="8"/>
  <c r="AE8" i="29" s="1"/>
  <c r="AE60" i="29" s="1"/>
  <c r="AI11" i="8"/>
  <c r="AE11" i="29" s="1"/>
  <c r="AE63" i="29" s="1"/>
  <c r="AI16" i="8"/>
  <c r="AE16" i="29" s="1"/>
  <c r="AE68" i="29" s="1"/>
  <c r="AI10" i="8"/>
  <c r="AE10" i="29" s="1"/>
  <c r="AE62" i="29" s="1"/>
  <c r="AI22" i="8"/>
  <c r="AE22" i="29" s="1"/>
  <c r="AE74" i="29" s="1"/>
  <c r="AI18" i="8"/>
  <c r="AE18" i="29" s="1"/>
  <c r="AE70" i="29" s="1"/>
  <c r="AI40" i="8"/>
  <c r="AE40" i="29" s="1"/>
  <c r="AE92" i="29" s="1"/>
  <c r="AI29" i="8"/>
  <c r="AE29" i="29" s="1"/>
  <c r="AE81" i="29" s="1"/>
  <c r="AI37" i="8"/>
  <c r="AE37" i="29" s="1"/>
  <c r="AE89" i="29" s="1"/>
  <c r="AI20" i="8"/>
  <c r="AE20" i="29" s="1"/>
  <c r="AE72" i="29" s="1"/>
  <c r="AI30" i="8"/>
  <c r="AE30" i="29" s="1"/>
  <c r="AE82" i="29" s="1"/>
  <c r="AI38" i="8"/>
  <c r="AE38" i="29" s="1"/>
  <c r="AE90" i="29" s="1"/>
  <c r="AI32" i="8"/>
  <c r="AE32" i="29" s="1"/>
  <c r="AE84" i="29" s="1"/>
  <c r="AI13" i="8"/>
  <c r="AE13" i="29" s="1"/>
  <c r="AE65" i="29" s="1"/>
  <c r="AI12" i="8"/>
  <c r="AE12" i="29" s="1"/>
  <c r="AE64" i="29" s="1"/>
  <c r="AI6" i="8"/>
  <c r="AE6" i="29" s="1"/>
  <c r="AE58" i="29" s="1"/>
  <c r="AI35" i="8"/>
  <c r="AE35" i="29" s="1"/>
  <c r="AE87" i="29" s="1"/>
  <c r="AH15" i="8"/>
  <c r="AD15" i="29" s="1"/>
  <c r="AD67" i="29" s="1"/>
  <c r="AH26" i="8"/>
  <c r="AD26" i="29" s="1"/>
  <c r="AD78" i="29" s="1"/>
  <c r="AI41" i="8"/>
  <c r="AE41" i="29" s="1"/>
  <c r="AE93" i="29" s="1"/>
  <c r="AI9" i="8"/>
  <c r="AE9" i="29" s="1"/>
  <c r="AE61" i="29" s="1"/>
  <c r="AH34" i="8"/>
  <c r="AD34" i="29" s="1"/>
  <c r="AD86" i="29" s="1"/>
  <c r="AH13" i="8"/>
  <c r="AD13" i="29" s="1"/>
  <c r="AD65" i="29" s="1"/>
  <c r="AH36" i="8"/>
  <c r="AD36" i="29" s="1"/>
  <c r="AD88" i="29" s="1"/>
  <c r="AH11" i="8"/>
  <c r="AD11" i="29" s="1"/>
  <c r="AD63" i="29" s="1"/>
  <c r="AH47" i="8"/>
  <c r="AD47" i="29" s="1"/>
  <c r="AD99" i="29" s="1"/>
  <c r="AH48" i="8"/>
  <c r="AD48" i="29" s="1"/>
  <c r="AD100" i="29" s="1"/>
  <c r="AH22" i="8"/>
  <c r="AD22" i="29" s="1"/>
  <c r="AD74" i="29" s="1"/>
  <c r="AH9" i="8"/>
  <c r="AD9" i="29" s="1"/>
  <c r="AD61" i="29" s="1"/>
  <c r="AH40" i="8"/>
  <c r="AD40" i="29" s="1"/>
  <c r="AD92" i="29" s="1"/>
  <c r="AH32" i="8"/>
  <c r="AD32" i="29" s="1"/>
  <c r="AD84" i="29" s="1"/>
  <c r="AI5" i="8"/>
  <c r="AE5" i="29" s="1"/>
  <c r="AE57" i="29" s="1"/>
  <c r="AH7" i="8"/>
  <c r="AD7" i="29" s="1"/>
  <c r="AD59" i="29" s="1"/>
  <c r="AB45" i="7"/>
  <c r="AB20" i="7"/>
  <c r="W27" i="8"/>
  <c r="V27" i="29" s="1"/>
  <c r="V79" i="29" s="1"/>
  <c r="AC6" i="8"/>
  <c r="AA6" i="29" s="1"/>
  <c r="AA58" i="29" s="1"/>
  <c r="O23" i="8"/>
  <c r="O23" i="29" s="1"/>
  <c r="O75" i="29" s="1"/>
  <c r="X33" i="8"/>
  <c r="W33" i="29" s="1"/>
  <c r="W85" i="29" s="1"/>
  <c r="U48" i="8"/>
  <c r="T48" i="29" s="1"/>
  <c r="T100" i="29" s="1"/>
  <c r="L15" i="8"/>
  <c r="L15" i="29" s="1"/>
  <c r="L67" i="29" s="1"/>
  <c r="O9" i="8"/>
  <c r="O9" i="29" s="1"/>
  <c r="O61" i="29" s="1"/>
  <c r="X48" i="8"/>
  <c r="W48" i="29" s="1"/>
  <c r="W100" i="29" s="1"/>
  <c r="AC41" i="8"/>
  <c r="AA41" i="29" s="1"/>
  <c r="AA93" i="29" s="1"/>
  <c r="AC5" i="8"/>
  <c r="AA5" i="29" s="1"/>
  <c r="AA57" i="29" s="1"/>
  <c r="O6" i="8"/>
  <c r="O6" i="29" s="1"/>
  <c r="O58" i="29" s="1"/>
  <c r="X47" i="8"/>
  <c r="W47" i="29" s="1"/>
  <c r="W99" i="29" s="1"/>
  <c r="AH24" i="8"/>
  <c r="AD24" i="29" s="1"/>
  <c r="AD76" i="29" s="1"/>
  <c r="L35" i="8"/>
  <c r="L35" i="29" s="1"/>
  <c r="L87" i="29" s="1"/>
  <c r="O30" i="8"/>
  <c r="O30" i="29" s="1"/>
  <c r="O82" i="29" s="1"/>
  <c r="X34" i="8"/>
  <c r="W34" i="29" s="1"/>
  <c r="W86" i="29" s="1"/>
  <c r="AB31" i="7"/>
  <c r="Q20" i="8"/>
  <c r="Q20" i="29" s="1"/>
  <c r="Q72" i="29" s="1"/>
  <c r="L34" i="8"/>
  <c r="L34" i="29" s="1"/>
  <c r="L86" i="29" s="1"/>
  <c r="O39" i="8"/>
  <c r="O39" i="29" s="1"/>
  <c r="O91" i="29" s="1"/>
  <c r="AC44" i="8"/>
  <c r="AA44" i="29" s="1"/>
  <c r="AA96" i="29" s="1"/>
  <c r="O46" i="8"/>
  <c r="O46" i="29" s="1"/>
  <c r="O98" i="29" s="1"/>
  <c r="AH38" i="8"/>
  <c r="AD38" i="29" s="1"/>
  <c r="AD90" i="29" s="1"/>
  <c r="O18" i="8"/>
  <c r="O18" i="29" s="1"/>
  <c r="O70" i="29" s="1"/>
  <c r="AC46" i="8"/>
  <c r="AA46" i="29" s="1"/>
  <c r="AA98" i="29" s="1"/>
  <c r="U18" i="8"/>
  <c r="T18" i="29" s="1"/>
  <c r="T70" i="29" s="1"/>
  <c r="AI48" i="8"/>
  <c r="AE48" i="29" s="1"/>
  <c r="AE100" i="29" s="1"/>
  <c r="Q25" i="8"/>
  <c r="Q25" i="29" s="1"/>
  <c r="Q77" i="29" s="1"/>
  <c r="O50" i="8"/>
  <c r="O50" i="29" s="1"/>
  <c r="O102" i="29" s="1"/>
  <c r="AH41" i="8"/>
  <c r="AD41" i="29" s="1"/>
  <c r="AD93" i="29" s="1"/>
  <c r="AC18" i="8"/>
  <c r="AA18" i="29" s="1"/>
  <c r="AA70" i="29" s="1"/>
  <c r="AC35" i="8"/>
  <c r="AA35" i="29" s="1"/>
  <c r="AA87" i="29" s="1"/>
  <c r="AH10" i="8"/>
  <c r="AD10" i="29" s="1"/>
  <c r="AD62" i="29" s="1"/>
  <c r="O49" i="8"/>
  <c r="O49" i="29" s="1"/>
  <c r="O101" i="29" s="1"/>
  <c r="O13" i="8"/>
  <c r="O13" i="29" s="1"/>
  <c r="O65" i="29" s="1"/>
  <c r="AH25" i="8"/>
  <c r="AD25" i="29" s="1"/>
  <c r="AD77" i="29" s="1"/>
  <c r="AC50" i="8"/>
  <c r="AA50" i="29" s="1"/>
  <c r="AA102" i="29" s="1"/>
  <c r="X10" i="8"/>
  <c r="W10" i="29" s="1"/>
  <c r="W62" i="29" s="1"/>
  <c r="AB47" i="7"/>
  <c r="L19" i="8"/>
  <c r="L19" i="29" s="1"/>
  <c r="L71" i="29" s="1"/>
  <c r="F35" i="5"/>
  <c r="L47" i="12"/>
  <c r="L47" i="13"/>
  <c r="L47" i="11"/>
  <c r="L47" i="10"/>
  <c r="AA24" i="11"/>
  <c r="Z24" i="12"/>
  <c r="Z24" i="13"/>
  <c r="AA24" i="13" s="1"/>
  <c r="M46" i="9"/>
  <c r="U33" i="12"/>
  <c r="U33" i="13"/>
  <c r="M36" i="9"/>
  <c r="T24" i="12"/>
  <c r="R24" i="30" s="1"/>
  <c r="R67" i="30" s="1"/>
  <c r="T24" i="13"/>
  <c r="V21" i="9"/>
  <c r="O12" i="12"/>
  <c r="O12" i="30" s="1"/>
  <c r="O55" i="30" s="1"/>
  <c r="O12" i="13"/>
  <c r="P41" i="8"/>
  <c r="P41" i="29" s="1"/>
  <c r="P93" i="29" s="1"/>
  <c r="M21" i="9"/>
  <c r="P29" i="8"/>
  <c r="T54" i="8"/>
  <c r="T54" i="9"/>
  <c r="T54" i="7"/>
  <c r="X45" i="8"/>
  <c r="W45" i="29" s="1"/>
  <c r="W97" i="29" s="1"/>
  <c r="X7" i="8"/>
  <c r="W7" i="29" s="1"/>
  <c r="W59" i="29" s="1"/>
  <c r="AA12" i="11"/>
  <c r="Z12" i="12"/>
  <c r="Z12" i="13"/>
  <c r="AA12" i="13" s="1"/>
  <c r="Z22" i="12"/>
  <c r="AA22" i="11"/>
  <c r="Z22" i="13"/>
  <c r="AA22" i="13" s="1"/>
  <c r="AA29" i="11"/>
  <c r="Z29" i="12"/>
  <c r="Z29" i="13"/>
  <c r="AA29" i="13" s="1"/>
  <c r="Z17" i="12"/>
  <c r="V17" i="30" s="1"/>
  <c r="V60" i="30" s="1"/>
  <c r="AA17" i="11"/>
  <c r="Z17" i="13"/>
  <c r="AA17" i="13" s="1"/>
  <c r="AA7" i="11"/>
  <c r="Z7" i="12"/>
  <c r="V7" i="30" s="1"/>
  <c r="V50" i="30" s="1"/>
  <c r="Z7" i="13"/>
  <c r="AA7" i="13" s="1"/>
  <c r="M27" i="9"/>
  <c r="M22" i="9"/>
  <c r="O7" i="8"/>
  <c r="O7" i="29" s="1"/>
  <c r="O59" i="29" s="1"/>
  <c r="U15" i="12"/>
  <c r="S15" i="30" s="1"/>
  <c r="S58" i="30" s="1"/>
  <c r="U15" i="13"/>
  <c r="U23" i="12"/>
  <c r="U23" i="13"/>
  <c r="U36" i="12"/>
  <c r="S36" i="30" s="1"/>
  <c r="S79" i="30" s="1"/>
  <c r="U36" i="13"/>
  <c r="U31" i="12"/>
  <c r="U31" i="13"/>
  <c r="U24" i="12"/>
  <c r="S24" i="30" s="1"/>
  <c r="S67" i="30" s="1"/>
  <c r="U24" i="13"/>
  <c r="M12" i="9"/>
  <c r="AH5" i="8"/>
  <c r="AD5" i="29" s="1"/>
  <c r="AD57" i="29" s="1"/>
  <c r="AC51" i="8"/>
  <c r="AA51" i="29" s="1"/>
  <c r="AA103" i="29" s="1"/>
  <c r="P16" i="8"/>
  <c r="P16" i="29" s="1"/>
  <c r="P68" i="29" s="1"/>
  <c r="X30" i="8"/>
  <c r="W30" i="29" s="1"/>
  <c r="W82" i="29" s="1"/>
  <c r="T41" i="12"/>
  <c r="R41" i="30" s="1"/>
  <c r="R84" i="30" s="1"/>
  <c r="T41" i="13"/>
  <c r="T13" i="12"/>
  <c r="R13" i="30" s="1"/>
  <c r="R56" i="30" s="1"/>
  <c r="T13" i="13"/>
  <c r="T12" i="12"/>
  <c r="R12" i="30" s="1"/>
  <c r="R55" i="30" s="1"/>
  <c r="T12" i="13"/>
  <c r="T28" i="12"/>
  <c r="R28" i="30" s="1"/>
  <c r="R71" i="30" s="1"/>
  <c r="T28" i="13"/>
  <c r="T10" i="12"/>
  <c r="R10" i="30" s="1"/>
  <c r="R53" i="30" s="1"/>
  <c r="T10" i="13"/>
  <c r="M6" i="9"/>
  <c r="AH33" i="8"/>
  <c r="AD33" i="29" s="1"/>
  <c r="AD85" i="29" s="1"/>
  <c r="AC45" i="8"/>
  <c r="AA45" i="29" s="1"/>
  <c r="AA97" i="29" s="1"/>
  <c r="Q11" i="8"/>
  <c r="Q11" i="29" s="1"/>
  <c r="Q63" i="29" s="1"/>
  <c r="O16" i="8"/>
  <c r="O16" i="29" s="1"/>
  <c r="O68" i="29" s="1"/>
  <c r="V10" i="9"/>
  <c r="V8" i="9"/>
  <c r="V35" i="9"/>
  <c r="V40" i="9"/>
  <c r="V45" i="9"/>
  <c r="V42" i="9"/>
  <c r="O28" i="12"/>
  <c r="O28" i="30" s="1"/>
  <c r="O71" i="30" s="1"/>
  <c r="O28" i="13"/>
  <c r="O33" i="12"/>
  <c r="O33" i="13"/>
  <c r="O42" i="12"/>
  <c r="O42" i="13"/>
  <c r="O6" i="12"/>
  <c r="O6" i="30" s="1"/>
  <c r="O49" i="30" s="1"/>
  <c r="O6" i="13"/>
  <c r="AH19" i="8"/>
  <c r="AD19" i="29" s="1"/>
  <c r="AD71" i="29" s="1"/>
  <c r="AH16" i="8"/>
  <c r="AD16" i="29" s="1"/>
  <c r="AD68" i="29" s="1"/>
  <c r="AH45" i="8"/>
  <c r="AD45" i="29" s="1"/>
  <c r="AD97" i="29" s="1"/>
  <c r="AC10" i="8"/>
  <c r="AA10" i="29" s="1"/>
  <c r="AA62" i="29" s="1"/>
  <c r="M41" i="9"/>
  <c r="X23" i="8"/>
  <c r="W23" i="29" s="1"/>
  <c r="W75" i="29" s="1"/>
  <c r="L5" i="8"/>
  <c r="L5" i="29" s="1"/>
  <c r="L57" i="29" s="1"/>
  <c r="N25" i="12"/>
  <c r="N25" i="13"/>
  <c r="N26" i="12"/>
  <c r="N26" i="30" s="1"/>
  <c r="N69" i="30" s="1"/>
  <c r="N26" i="13"/>
  <c r="N29" i="12"/>
  <c r="N29" i="30" s="1"/>
  <c r="N72" i="30" s="1"/>
  <c r="N29" i="13"/>
  <c r="N22" i="12"/>
  <c r="N22" i="30" s="1"/>
  <c r="N65" i="30" s="1"/>
  <c r="N22" i="13"/>
  <c r="N11" i="12"/>
  <c r="N11" i="13"/>
  <c r="O51" i="8"/>
  <c r="O51" i="29" s="1"/>
  <c r="O103" i="29" s="1"/>
  <c r="Y43" i="9"/>
  <c r="Y49" i="9"/>
  <c r="Y29" i="9"/>
  <c r="Y15" i="9"/>
  <c r="Y5" i="9"/>
  <c r="Y53" i="7"/>
  <c r="Y58" i="7" s="1"/>
  <c r="Y15" i="8" s="1"/>
  <c r="X15" i="29" s="1"/>
  <c r="X67" i="29" s="1"/>
  <c r="Y18" i="9"/>
  <c r="M24" i="9"/>
  <c r="W45" i="8"/>
  <c r="V45" i="29" s="1"/>
  <c r="V97" i="29" s="1"/>
  <c r="W14" i="8"/>
  <c r="V14" i="29" s="1"/>
  <c r="V66" i="29" s="1"/>
  <c r="AC43" i="8"/>
  <c r="AA43" i="29" s="1"/>
  <c r="AA95" i="29" s="1"/>
  <c r="X46" i="8"/>
  <c r="W46" i="29" s="1"/>
  <c r="W98" i="29" s="1"/>
  <c r="Q21" i="8"/>
  <c r="Q21" i="29" s="1"/>
  <c r="Q73" i="29" s="1"/>
  <c r="L22" i="8"/>
  <c r="L22" i="29" s="1"/>
  <c r="L74" i="29" s="1"/>
  <c r="P28" i="8"/>
  <c r="M18" i="9"/>
  <c r="W19" i="8"/>
  <c r="V19" i="29" s="1"/>
  <c r="V71" i="29" s="1"/>
  <c r="AH6" i="8"/>
  <c r="AD6" i="29" s="1"/>
  <c r="AD58" i="29" s="1"/>
  <c r="AH29" i="8"/>
  <c r="AD29" i="29" s="1"/>
  <c r="AD81" i="29" s="1"/>
  <c r="AC37" i="8"/>
  <c r="AA37" i="29" s="1"/>
  <c r="AA89" i="29" s="1"/>
  <c r="P53" i="9"/>
  <c r="M47" i="9"/>
  <c r="U44" i="8"/>
  <c r="T44" i="29" s="1"/>
  <c r="T96" i="29" s="1"/>
  <c r="X50" i="8"/>
  <c r="W50" i="29" s="1"/>
  <c r="W102" i="29" s="1"/>
  <c r="AI31" i="8"/>
  <c r="AE31" i="29" s="1"/>
  <c r="AE83" i="29" s="1"/>
  <c r="Z23" i="12"/>
  <c r="V23" i="30" s="1"/>
  <c r="V66" i="30" s="1"/>
  <c r="AA23" i="11"/>
  <c r="Z23" i="13"/>
  <c r="AA23" i="13" s="1"/>
  <c r="U42" i="12"/>
  <c r="S42" i="30" s="1"/>
  <c r="S85" i="30" s="1"/>
  <c r="U42" i="13"/>
  <c r="T34" i="12"/>
  <c r="T34" i="13"/>
  <c r="M9" i="9"/>
  <c r="V6" i="9"/>
  <c r="O18" i="12"/>
  <c r="O18" i="30" s="1"/>
  <c r="O61" i="30" s="1"/>
  <c r="O18" i="13"/>
  <c r="N20" i="12"/>
  <c r="N20" i="30" s="1"/>
  <c r="N63" i="30" s="1"/>
  <c r="N20" i="13"/>
  <c r="Y14" i="9"/>
  <c r="P49" i="8"/>
  <c r="P49" i="29" s="1"/>
  <c r="P101" i="29" s="1"/>
  <c r="P11" i="8"/>
  <c r="P11" i="29" s="1"/>
  <c r="P63" i="29" s="1"/>
  <c r="AA28" i="11"/>
  <c r="Z28" i="12"/>
  <c r="V28" i="30" s="1"/>
  <c r="V71" i="30" s="1"/>
  <c r="Z28" i="13"/>
  <c r="AA28" i="13" s="1"/>
  <c r="AA27" i="11"/>
  <c r="Z27" i="12"/>
  <c r="Z27" i="13"/>
  <c r="AA27" i="13" s="1"/>
  <c r="AA14" i="11"/>
  <c r="Z14" i="12"/>
  <c r="Z14" i="13"/>
  <c r="AA14" i="13" s="1"/>
  <c r="Z25" i="12"/>
  <c r="V25" i="30" s="1"/>
  <c r="V68" i="30" s="1"/>
  <c r="AA25" i="11"/>
  <c r="Z25" i="13"/>
  <c r="AA25" i="13" s="1"/>
  <c r="AA9" i="11"/>
  <c r="Z9" i="12"/>
  <c r="V9" i="30" s="1"/>
  <c r="V52" i="30" s="1"/>
  <c r="Z9" i="13"/>
  <c r="AA9" i="13" s="1"/>
  <c r="P34" i="8"/>
  <c r="P34" i="29" s="1"/>
  <c r="P86" i="29" s="1"/>
  <c r="X41" i="8"/>
  <c r="W41" i="29" s="1"/>
  <c r="W93" i="29" s="1"/>
  <c r="X18" i="8"/>
  <c r="W18" i="29" s="1"/>
  <c r="W70" i="29" s="1"/>
  <c r="O42" i="8"/>
  <c r="O42" i="29" s="1"/>
  <c r="O94" i="29" s="1"/>
  <c r="O29" i="8"/>
  <c r="O29" i="29" s="1"/>
  <c r="O81" i="29" s="1"/>
  <c r="O43" i="8"/>
  <c r="O43" i="29" s="1"/>
  <c r="O95" i="29" s="1"/>
  <c r="O31" i="8"/>
  <c r="O31" i="29" s="1"/>
  <c r="O83" i="29" s="1"/>
  <c r="O37" i="8"/>
  <c r="O37" i="29" s="1"/>
  <c r="O89" i="29" s="1"/>
  <c r="O41" i="8"/>
  <c r="O41" i="29" s="1"/>
  <c r="O93" i="29" s="1"/>
  <c r="O47" i="8"/>
  <c r="O47" i="29" s="1"/>
  <c r="O99" i="29" s="1"/>
  <c r="O44" i="8"/>
  <c r="O44" i="29" s="1"/>
  <c r="O96" i="29" s="1"/>
  <c r="O21" i="8"/>
  <c r="O21" i="29" s="1"/>
  <c r="O73" i="29" s="1"/>
  <c r="O38" i="8"/>
  <c r="O38" i="29" s="1"/>
  <c r="O90" i="29" s="1"/>
  <c r="U40" i="12"/>
  <c r="U40" i="13"/>
  <c r="U38" i="12"/>
  <c r="S38" i="30" s="1"/>
  <c r="S81" i="30" s="1"/>
  <c r="U38" i="13"/>
  <c r="U25" i="12"/>
  <c r="S25" i="30" s="1"/>
  <c r="S68" i="30" s="1"/>
  <c r="U25" i="13"/>
  <c r="U21" i="12"/>
  <c r="U21" i="13"/>
  <c r="U32" i="12"/>
  <c r="U32" i="13"/>
  <c r="AD5" i="9"/>
  <c r="AD53" i="9" s="1"/>
  <c r="AC53" i="9"/>
  <c r="O20" i="8"/>
  <c r="O20" i="29" s="1"/>
  <c r="O72" i="29" s="1"/>
  <c r="T27" i="12"/>
  <c r="T27" i="13"/>
  <c r="T29" i="12"/>
  <c r="R29" i="30" s="1"/>
  <c r="R72" i="30" s="1"/>
  <c r="T29" i="13"/>
  <c r="T15" i="12"/>
  <c r="R15" i="30" s="1"/>
  <c r="R58" i="30" s="1"/>
  <c r="T15" i="13"/>
  <c r="T21" i="12"/>
  <c r="T21" i="13"/>
  <c r="T16" i="12"/>
  <c r="T16" i="13"/>
  <c r="M10" i="9"/>
  <c r="AC16" i="8"/>
  <c r="AA16" i="29" s="1"/>
  <c r="AA68" i="29" s="1"/>
  <c r="P7" i="8"/>
  <c r="P7" i="29" s="1"/>
  <c r="P59" i="29" s="1"/>
  <c r="P46" i="8"/>
  <c r="P46" i="29" s="1"/>
  <c r="P98" i="29" s="1"/>
  <c r="X32" i="8"/>
  <c r="W32" i="29" s="1"/>
  <c r="W84" i="29" s="1"/>
  <c r="X16" i="8"/>
  <c r="W16" i="29" s="1"/>
  <c r="W68" i="29" s="1"/>
  <c r="V14" i="9"/>
  <c r="V12" i="9"/>
  <c r="V39" i="9"/>
  <c r="V44" i="9"/>
  <c r="V48" i="9"/>
  <c r="V49" i="9"/>
  <c r="O26" i="12"/>
  <c r="O26" i="13"/>
  <c r="O15" i="12"/>
  <c r="O15" i="30" s="1"/>
  <c r="O58" i="30" s="1"/>
  <c r="O15" i="13"/>
  <c r="O27" i="12"/>
  <c r="O27" i="13"/>
  <c r="O8" i="12"/>
  <c r="O8" i="13"/>
  <c r="AC40" i="8"/>
  <c r="AA40" i="29" s="1"/>
  <c r="AA92" i="29" s="1"/>
  <c r="P8" i="8"/>
  <c r="P8" i="29" s="1"/>
  <c r="P60" i="29" s="1"/>
  <c r="Q29" i="8"/>
  <c r="Q29" i="29" s="1"/>
  <c r="Q81" i="29" s="1"/>
  <c r="Q12" i="8"/>
  <c r="Q12" i="29" s="1"/>
  <c r="Q64" i="29" s="1"/>
  <c r="N14" i="12"/>
  <c r="N14" i="13"/>
  <c r="N24" i="12"/>
  <c r="N24" i="13"/>
  <c r="N35" i="12"/>
  <c r="N35" i="13"/>
  <c r="N6" i="12"/>
  <c r="N6" i="30" s="1"/>
  <c r="N49" i="30" s="1"/>
  <c r="N6" i="13"/>
  <c r="Y33" i="9"/>
  <c r="Y30" i="9"/>
  <c r="Y32" i="9"/>
  <c r="Y19" i="9"/>
  <c r="Y9" i="9"/>
  <c r="Y7" i="9"/>
  <c r="X11" i="8"/>
  <c r="W11" i="29" s="1"/>
  <c r="W63" i="29" s="1"/>
  <c r="O15" i="8"/>
  <c r="O15" i="29" s="1"/>
  <c r="O67" i="29" s="1"/>
  <c r="AH28" i="8"/>
  <c r="AD28" i="29" s="1"/>
  <c r="AD80" i="29" s="1"/>
  <c r="AC25" i="8"/>
  <c r="AA25" i="29" s="1"/>
  <c r="AA77" i="29" s="1"/>
  <c r="P9" i="8"/>
  <c r="P9" i="29" s="1"/>
  <c r="P61" i="29" s="1"/>
  <c r="P38" i="8"/>
  <c r="P38" i="29" s="1"/>
  <c r="P90" i="29" s="1"/>
  <c r="W15" i="8"/>
  <c r="V15" i="29" s="1"/>
  <c r="V67" i="29" s="1"/>
  <c r="AC38" i="8"/>
  <c r="AA38" i="29" s="1"/>
  <c r="AA90" i="29" s="1"/>
  <c r="P5" i="8"/>
  <c r="P5" i="29" s="1"/>
  <c r="P57" i="29" s="1"/>
  <c r="AB44" i="7"/>
  <c r="Q28" i="8"/>
  <c r="Q28" i="29" s="1"/>
  <c r="Q80" i="29" s="1"/>
  <c r="Q19" i="8"/>
  <c r="Q19" i="29" s="1"/>
  <c r="Q71" i="29" s="1"/>
  <c r="L20" i="8"/>
  <c r="L20" i="29" s="1"/>
  <c r="L72" i="29" s="1"/>
  <c r="Q33" i="8"/>
  <c r="Q33" i="29" s="1"/>
  <c r="Q85" i="29" s="1"/>
  <c r="O19" i="8"/>
  <c r="O19" i="29" s="1"/>
  <c r="O71" i="29" s="1"/>
  <c r="AC15" i="8"/>
  <c r="AA15" i="29" s="1"/>
  <c r="AA67" i="29" s="1"/>
  <c r="P42" i="8"/>
  <c r="P42" i="29" s="1"/>
  <c r="P94" i="29" s="1"/>
  <c r="X42" i="8"/>
  <c r="W42" i="29" s="1"/>
  <c r="W94" i="29" s="1"/>
  <c r="V38" i="9"/>
  <c r="N13" i="12"/>
  <c r="N13" i="30" s="1"/>
  <c r="N56" i="30" s="1"/>
  <c r="N13" i="13"/>
  <c r="AA40" i="11"/>
  <c r="Z40" i="12"/>
  <c r="Z40" i="13"/>
  <c r="AA40" i="13" s="1"/>
  <c r="Z21" i="12"/>
  <c r="AA21" i="11"/>
  <c r="Z21" i="13"/>
  <c r="AA21" i="13" s="1"/>
  <c r="AA31" i="11"/>
  <c r="Z31" i="12"/>
  <c r="V31" i="30" s="1"/>
  <c r="V74" i="30" s="1"/>
  <c r="Z31" i="13"/>
  <c r="AA31" i="13" s="1"/>
  <c r="AA11" i="11"/>
  <c r="Z11" i="12"/>
  <c r="V11" i="30" s="1"/>
  <c r="V54" i="30" s="1"/>
  <c r="Z11" i="13"/>
  <c r="AA11" i="13" s="1"/>
  <c r="R53" i="9"/>
  <c r="O53" i="9"/>
  <c r="U18" i="12"/>
  <c r="S18" i="30" s="1"/>
  <c r="S61" i="30" s="1"/>
  <c r="U18" i="13"/>
  <c r="U34" i="12"/>
  <c r="U34" i="13"/>
  <c r="U30" i="12"/>
  <c r="S30" i="30" s="1"/>
  <c r="S73" i="30" s="1"/>
  <c r="U30" i="13"/>
  <c r="U6" i="12"/>
  <c r="S6" i="30" s="1"/>
  <c r="S49" i="30" s="1"/>
  <c r="U6" i="13"/>
  <c r="U5" i="12"/>
  <c r="S5" i="30" s="1"/>
  <c r="S48" i="30" s="1"/>
  <c r="U44" i="11"/>
  <c r="U5" i="13"/>
  <c r="O32" i="8"/>
  <c r="O32" i="29" s="1"/>
  <c r="O84" i="29" s="1"/>
  <c r="AD5" i="8"/>
  <c r="P37" i="8"/>
  <c r="P37" i="29" s="1"/>
  <c r="P89" i="29" s="1"/>
  <c r="X37" i="8"/>
  <c r="W37" i="29" s="1"/>
  <c r="W89" i="29" s="1"/>
  <c r="X14" i="8"/>
  <c r="W14" i="29" s="1"/>
  <c r="W66" i="29" s="1"/>
  <c r="T20" i="12"/>
  <c r="R20" i="30" s="1"/>
  <c r="R63" i="30" s="1"/>
  <c r="T20" i="13"/>
  <c r="T19" i="12"/>
  <c r="R19" i="30" s="1"/>
  <c r="R62" i="30" s="1"/>
  <c r="T19" i="13"/>
  <c r="T35" i="12"/>
  <c r="R35" i="30" s="1"/>
  <c r="R78" i="30" s="1"/>
  <c r="T35" i="13"/>
  <c r="T5" i="12"/>
  <c r="T5" i="13"/>
  <c r="T44" i="11"/>
  <c r="M15" i="9"/>
  <c r="AH43" i="8"/>
  <c r="AD43" i="29" s="1"/>
  <c r="AD95" i="29" s="1"/>
  <c r="AC39" i="8"/>
  <c r="AA39" i="29" s="1"/>
  <c r="AA91" i="29" s="1"/>
  <c r="O35" i="8"/>
  <c r="O35" i="29" s="1"/>
  <c r="O87" i="29" s="1"/>
  <c r="V18" i="9"/>
  <c r="AB18" i="9" s="1"/>
  <c r="V16" i="9"/>
  <c r="V43" i="9"/>
  <c r="AB43" i="9" s="1"/>
  <c r="V47" i="9"/>
  <c r="V51" i="9"/>
  <c r="O37" i="12"/>
  <c r="O37" i="30" s="1"/>
  <c r="O80" i="30" s="1"/>
  <c r="O37" i="13"/>
  <c r="O41" i="12"/>
  <c r="O41" i="13"/>
  <c r="O14" i="12"/>
  <c r="O14" i="13"/>
  <c r="O17" i="12"/>
  <c r="O17" i="13"/>
  <c r="O10" i="12"/>
  <c r="O10" i="30" s="1"/>
  <c r="O53" i="30" s="1"/>
  <c r="O10" i="13"/>
  <c r="D46" i="5"/>
  <c r="Q45" i="13"/>
  <c r="Q45" i="12"/>
  <c r="Q45" i="11"/>
  <c r="Q45" i="10"/>
  <c r="AH35" i="8"/>
  <c r="AD35" i="29" s="1"/>
  <c r="AD87" i="29" s="1"/>
  <c r="AB39" i="7"/>
  <c r="M14" i="9"/>
  <c r="AH14" i="8"/>
  <c r="AD14" i="29" s="1"/>
  <c r="AD66" i="29" s="1"/>
  <c r="AH50" i="8"/>
  <c r="AD50" i="29" s="1"/>
  <c r="AD102" i="29" s="1"/>
  <c r="AB12" i="7"/>
  <c r="X22" i="8"/>
  <c r="W22" i="29" s="1"/>
  <c r="W74" i="29" s="1"/>
  <c r="N36" i="12"/>
  <c r="N36" i="13"/>
  <c r="N30" i="12"/>
  <c r="N30" i="30" s="1"/>
  <c r="N73" i="30" s="1"/>
  <c r="N30" i="13"/>
  <c r="N39" i="12"/>
  <c r="N39" i="13"/>
  <c r="N8" i="12"/>
  <c r="N8" i="30" s="1"/>
  <c r="N51" i="30" s="1"/>
  <c r="N8" i="13"/>
  <c r="O34" i="8"/>
  <c r="O34" i="29" s="1"/>
  <c r="O86" i="29" s="1"/>
  <c r="Q45" i="8"/>
  <c r="Q45" i="29" s="1"/>
  <c r="Q97" i="29" s="1"/>
  <c r="O8" i="8"/>
  <c r="O8" i="29" s="1"/>
  <c r="O60" i="29" s="1"/>
  <c r="Y23" i="9"/>
  <c r="Y44" i="9"/>
  <c r="AB44" i="9" s="1"/>
  <c r="Y39" i="9"/>
  <c r="Y48" i="9"/>
  <c r="Y25" i="9"/>
  <c r="P50" i="8"/>
  <c r="P50" i="29" s="1"/>
  <c r="P102" i="29" s="1"/>
  <c r="W40" i="8"/>
  <c r="V40" i="29" s="1"/>
  <c r="V92" i="29" s="1"/>
  <c r="W53" i="9"/>
  <c r="AC36" i="8"/>
  <c r="AA36" i="29" s="1"/>
  <c r="AA88" i="29" s="1"/>
  <c r="M42" i="9"/>
  <c r="M37" i="9"/>
  <c r="M44" i="9"/>
  <c r="X19" i="8"/>
  <c r="W19" i="29" s="1"/>
  <c r="W71" i="29" s="1"/>
  <c r="Q8" i="8"/>
  <c r="Q8" i="29" s="1"/>
  <c r="Q60" i="29" s="1"/>
  <c r="L46" i="8"/>
  <c r="L46" i="29" s="1"/>
  <c r="L98" i="29" s="1"/>
  <c r="L48" i="10"/>
  <c r="L48" i="12" s="1"/>
  <c r="W41" i="8"/>
  <c r="V41" i="29" s="1"/>
  <c r="V93" i="29" s="1"/>
  <c r="W10" i="8"/>
  <c r="V10" i="29" s="1"/>
  <c r="V62" i="29" s="1"/>
  <c r="AH23" i="8"/>
  <c r="AD23" i="29" s="1"/>
  <c r="AD75" i="29" s="1"/>
  <c r="AC20" i="8"/>
  <c r="AA20" i="29" s="1"/>
  <c r="AA72" i="29" s="1"/>
  <c r="U14" i="8"/>
  <c r="T14" i="29" s="1"/>
  <c r="T66" i="29" s="1"/>
  <c r="X49" i="8"/>
  <c r="W49" i="29" s="1"/>
  <c r="W101" i="29" s="1"/>
  <c r="AI47" i="8"/>
  <c r="AE47" i="29" s="1"/>
  <c r="AE99" i="29" s="1"/>
  <c r="O40" i="8"/>
  <c r="O40" i="29" s="1"/>
  <c r="O92" i="29" s="1"/>
  <c r="AH53" i="9"/>
  <c r="L53" i="9"/>
  <c r="N23" i="12"/>
  <c r="N23" i="30" s="1"/>
  <c r="N66" i="30" s="1"/>
  <c r="N23" i="13"/>
  <c r="Y45" i="9"/>
  <c r="AB45" i="9" s="1"/>
  <c r="M51" i="9"/>
  <c r="N55" i="9"/>
  <c r="N55" i="8"/>
  <c r="N55" i="7"/>
  <c r="N56" i="9"/>
  <c r="N56" i="8"/>
  <c r="N56" i="7"/>
  <c r="M45" i="9"/>
  <c r="P27" i="8"/>
  <c r="P48" i="8"/>
  <c r="P48" i="29" s="1"/>
  <c r="P100" i="29" s="1"/>
  <c r="X5" i="8"/>
  <c r="W5" i="29" s="1"/>
  <c r="W57" i="29" s="1"/>
  <c r="AA32" i="11"/>
  <c r="Z32" i="12"/>
  <c r="Z32" i="13"/>
  <c r="AA32" i="13" s="1"/>
  <c r="AA15" i="11"/>
  <c r="Z15" i="12"/>
  <c r="Z15" i="13"/>
  <c r="AA15" i="13" s="1"/>
  <c r="AA36" i="11"/>
  <c r="Z36" i="12"/>
  <c r="V36" i="30" s="1"/>
  <c r="V79" i="30" s="1"/>
  <c r="Z36" i="13"/>
  <c r="AA36" i="13" s="1"/>
  <c r="AA6" i="11"/>
  <c r="Z6" i="12"/>
  <c r="V6" i="30" s="1"/>
  <c r="V49" i="30" s="1"/>
  <c r="Z6" i="13"/>
  <c r="AA6" i="13" s="1"/>
  <c r="P26" i="8"/>
  <c r="P43" i="8"/>
  <c r="P43" i="29" s="1"/>
  <c r="P95" i="29" s="1"/>
  <c r="X40" i="8"/>
  <c r="W40" i="29" s="1"/>
  <c r="W92" i="29" s="1"/>
  <c r="X8" i="8"/>
  <c r="W8" i="29" s="1"/>
  <c r="W60" i="29" s="1"/>
  <c r="O5" i="8"/>
  <c r="O5" i="29" s="1"/>
  <c r="O57" i="29" s="1"/>
  <c r="U20" i="12"/>
  <c r="U20" i="13"/>
  <c r="U35" i="12"/>
  <c r="U35" i="13"/>
  <c r="U17" i="12"/>
  <c r="S17" i="30" s="1"/>
  <c r="S60" i="30" s="1"/>
  <c r="U17" i="13"/>
  <c r="U8" i="12"/>
  <c r="S8" i="30" s="1"/>
  <c r="S51" i="30" s="1"/>
  <c r="U8" i="13"/>
  <c r="U7" i="12"/>
  <c r="U7" i="13"/>
  <c r="M23" i="9"/>
  <c r="AD53" i="7"/>
  <c r="AC21" i="8"/>
  <c r="AA21" i="29" s="1"/>
  <c r="AA73" i="29" s="1"/>
  <c r="M34" i="9"/>
  <c r="T38" i="12"/>
  <c r="T38" i="13"/>
  <c r="T37" i="12"/>
  <c r="T37" i="13"/>
  <c r="T25" i="12"/>
  <c r="R25" i="30" s="1"/>
  <c r="R68" i="30" s="1"/>
  <c r="T25" i="13"/>
  <c r="T7" i="12"/>
  <c r="T7" i="13"/>
  <c r="M19" i="9"/>
  <c r="P17" i="8"/>
  <c r="P17" i="29" s="1"/>
  <c r="P69" i="29" s="1"/>
  <c r="P47" i="8"/>
  <c r="P47" i="29" s="1"/>
  <c r="P99" i="29" s="1"/>
  <c r="X27" i="8"/>
  <c r="W27" i="29" s="1"/>
  <c r="W79" i="29" s="1"/>
  <c r="V53" i="7"/>
  <c r="V58" i="7" s="1"/>
  <c r="V21" i="8" s="1"/>
  <c r="U21" i="29" s="1"/>
  <c r="U73" i="29" s="1"/>
  <c r="V5" i="9"/>
  <c r="AB5" i="9" s="1"/>
  <c r="V7" i="9"/>
  <c r="AB7" i="9" s="1"/>
  <c r="V20" i="9"/>
  <c r="V50" i="9"/>
  <c r="V25" i="9"/>
  <c r="V22" i="9"/>
  <c r="O30" i="12"/>
  <c r="O30" i="13"/>
  <c r="O24" i="12"/>
  <c r="O24" i="13"/>
  <c r="O21" i="12"/>
  <c r="O21" i="30" s="1"/>
  <c r="O64" i="30" s="1"/>
  <c r="O21" i="13"/>
  <c r="O39" i="12"/>
  <c r="O39" i="13"/>
  <c r="O39" i="30" s="1"/>
  <c r="O82" i="30" s="1"/>
  <c r="O16" i="12"/>
  <c r="O16" i="13"/>
  <c r="O27" i="8"/>
  <c r="O27" i="29" s="1"/>
  <c r="O79" i="29" s="1"/>
  <c r="M49" i="9"/>
  <c r="AC48" i="8"/>
  <c r="AA48" i="29" s="1"/>
  <c r="AA100" i="29" s="1"/>
  <c r="M39" i="9"/>
  <c r="P45" i="8"/>
  <c r="P45" i="29" s="1"/>
  <c r="P97" i="29" s="1"/>
  <c r="Q16" i="8"/>
  <c r="Q16" i="29" s="1"/>
  <c r="Q68" i="29" s="1"/>
  <c r="L26" i="8"/>
  <c r="L26" i="29" s="1"/>
  <c r="L78" i="29" s="1"/>
  <c r="N40" i="12"/>
  <c r="N40" i="13"/>
  <c r="N42" i="12"/>
  <c r="N42" i="13"/>
  <c r="N37" i="12"/>
  <c r="N37" i="13"/>
  <c r="N21" i="12"/>
  <c r="N21" i="30" s="1"/>
  <c r="N64" i="30" s="1"/>
  <c r="N21" i="13"/>
  <c r="N10" i="12"/>
  <c r="N10" i="13"/>
  <c r="Y41" i="9"/>
  <c r="Y21" i="9"/>
  <c r="Y27" i="9"/>
  <c r="Y42" i="9"/>
  <c r="Y51" i="9"/>
  <c r="AB51" i="9" s="1"/>
  <c r="Y13" i="9"/>
  <c r="M35" i="9"/>
  <c r="AB21" i="9"/>
  <c r="Q24" i="8"/>
  <c r="Q24" i="29" s="1"/>
  <c r="Q76" i="29" s="1"/>
  <c r="W5" i="8"/>
  <c r="V5" i="29" s="1"/>
  <c r="V57" i="29" s="1"/>
  <c r="AH30" i="8"/>
  <c r="AD30" i="29" s="1"/>
  <c r="AD82" i="29" s="1"/>
  <c r="P33" i="8"/>
  <c r="P33" i="29" s="1"/>
  <c r="P85" i="29" s="1"/>
  <c r="AH17" i="8"/>
  <c r="AD17" i="29" s="1"/>
  <c r="AD69" i="29" s="1"/>
  <c r="AC22" i="8"/>
  <c r="AA22" i="29" s="1"/>
  <c r="AA74" i="29" s="1"/>
  <c r="P19" i="8"/>
  <c r="P19" i="29" s="1"/>
  <c r="P71" i="29" s="1"/>
  <c r="Q14" i="8"/>
  <c r="Q14" i="29" s="1"/>
  <c r="Q66" i="29" s="1"/>
  <c r="Q46" i="8"/>
  <c r="Q46" i="29" s="1"/>
  <c r="Q98" i="29" s="1"/>
  <c r="L39" i="8"/>
  <c r="L39" i="29" s="1"/>
  <c r="L91" i="29" s="1"/>
  <c r="O17" i="8"/>
  <c r="O17" i="29" s="1"/>
  <c r="O69" i="29" s="1"/>
  <c r="W37" i="8"/>
  <c r="V37" i="29" s="1"/>
  <c r="V89" i="29" s="1"/>
  <c r="U40" i="8"/>
  <c r="T40" i="29" s="1"/>
  <c r="T92" i="29" s="1"/>
  <c r="Q48" i="8"/>
  <c r="Q48" i="29" s="1"/>
  <c r="Q100" i="29" s="1"/>
  <c r="Z18" i="12"/>
  <c r="AA18" i="11"/>
  <c r="Z18" i="13"/>
  <c r="AA18" i="13" s="1"/>
  <c r="M43" i="9"/>
  <c r="U26" i="12"/>
  <c r="U26" i="13"/>
  <c r="T14" i="12"/>
  <c r="R14" i="30" s="1"/>
  <c r="R57" i="30" s="1"/>
  <c r="T14" i="13"/>
  <c r="V36" i="9"/>
  <c r="O22" i="12"/>
  <c r="O22" i="13"/>
  <c r="Y11" i="9"/>
  <c r="X53" i="9"/>
  <c r="AA41" i="11"/>
  <c r="Z41" i="12"/>
  <c r="Z41" i="13"/>
  <c r="AA41" i="13" s="1"/>
  <c r="X39" i="8"/>
  <c r="W39" i="29" s="1"/>
  <c r="W91" i="29" s="1"/>
  <c r="AA30" i="11"/>
  <c r="Z30" i="12"/>
  <c r="Z30" i="13"/>
  <c r="AA30" i="13" s="1"/>
  <c r="AA13" i="11"/>
  <c r="Z13" i="12"/>
  <c r="Z13" i="13"/>
  <c r="AA13" i="13" s="1"/>
  <c r="AA35" i="11"/>
  <c r="Z35" i="12"/>
  <c r="Z35" i="13"/>
  <c r="AA35" i="13" s="1"/>
  <c r="AA8" i="11"/>
  <c r="Z8" i="12"/>
  <c r="V8" i="30" s="1"/>
  <c r="V51" i="30" s="1"/>
  <c r="Z8" i="13"/>
  <c r="AA8" i="13" s="1"/>
  <c r="X9" i="8"/>
  <c r="W9" i="29" s="1"/>
  <c r="W61" i="29" s="1"/>
  <c r="M8" i="9"/>
  <c r="U29" i="12"/>
  <c r="S29" i="30" s="1"/>
  <c r="S72" i="30" s="1"/>
  <c r="U29" i="13"/>
  <c r="U27" i="12"/>
  <c r="S27" i="30" s="1"/>
  <c r="S70" i="30" s="1"/>
  <c r="U27" i="13"/>
  <c r="U22" i="12"/>
  <c r="S22" i="30" s="1"/>
  <c r="S65" i="30" s="1"/>
  <c r="U22" i="13"/>
  <c r="U10" i="12"/>
  <c r="U10" i="13"/>
  <c r="U9" i="12"/>
  <c r="S9" i="30" s="1"/>
  <c r="S52" i="30" s="1"/>
  <c r="U9" i="13"/>
  <c r="AH46" i="8"/>
  <c r="AD46" i="29" s="1"/>
  <c r="AD98" i="29" s="1"/>
  <c r="P22" i="8"/>
  <c r="P44" i="8"/>
  <c r="P44" i="29" s="1"/>
  <c r="P96" i="29" s="1"/>
  <c r="X36" i="8"/>
  <c r="W36" i="29" s="1"/>
  <c r="W88" i="29" s="1"/>
  <c r="X20" i="8"/>
  <c r="W20" i="29" s="1"/>
  <c r="W72" i="29" s="1"/>
  <c r="O36" i="8"/>
  <c r="O36" i="29" s="1"/>
  <c r="O88" i="29" s="1"/>
  <c r="T39" i="12"/>
  <c r="T39" i="13"/>
  <c r="T33" i="12"/>
  <c r="R33" i="30" s="1"/>
  <c r="R76" i="30" s="1"/>
  <c r="T33" i="13"/>
  <c r="T36" i="12"/>
  <c r="R36" i="30" s="1"/>
  <c r="R79" i="30" s="1"/>
  <c r="T36" i="13"/>
  <c r="T42" i="12"/>
  <c r="R42" i="30" s="1"/>
  <c r="R85" i="30" s="1"/>
  <c r="T42" i="13"/>
  <c r="T9" i="12"/>
  <c r="T9" i="13"/>
  <c r="M28" i="9"/>
  <c r="AH20" i="8"/>
  <c r="AD20" i="29" s="1"/>
  <c r="AD72" i="29" s="1"/>
  <c r="AH51" i="8"/>
  <c r="AD51" i="29" s="1"/>
  <c r="AD103" i="29" s="1"/>
  <c r="AC14" i="8"/>
  <c r="AA14" i="29" s="1"/>
  <c r="AA66" i="29" s="1"/>
  <c r="Q43" i="8"/>
  <c r="Q43" i="29" s="1"/>
  <c r="Q95" i="29" s="1"/>
  <c r="O28" i="8"/>
  <c r="O28" i="29" s="1"/>
  <c r="O80" i="29" s="1"/>
  <c r="O48" i="8"/>
  <c r="O48" i="29" s="1"/>
  <c r="O100" i="29" s="1"/>
  <c r="V9" i="9"/>
  <c r="AB9" i="9" s="1"/>
  <c r="V11" i="9"/>
  <c r="V46" i="9"/>
  <c r="V24" i="8"/>
  <c r="V24" i="9"/>
  <c r="V29" i="9"/>
  <c r="V26" i="9"/>
  <c r="O31" i="12"/>
  <c r="O31" i="13"/>
  <c r="O23" i="12"/>
  <c r="O23" i="30" s="1"/>
  <c r="O66" i="30" s="1"/>
  <c r="O23" i="13"/>
  <c r="O40" i="12"/>
  <c r="O40" i="13"/>
  <c r="O38" i="12"/>
  <c r="O38" i="30" s="1"/>
  <c r="O81" i="30" s="1"/>
  <c r="O38" i="13"/>
  <c r="O5" i="12"/>
  <c r="O44" i="11"/>
  <c r="O5" i="13"/>
  <c r="AC29" i="8"/>
  <c r="AA29" i="29" s="1"/>
  <c r="AA81" i="29" s="1"/>
  <c r="X43" i="8"/>
  <c r="W43" i="29" s="1"/>
  <c r="W95" i="29" s="1"/>
  <c r="M32" i="9"/>
  <c r="AH27" i="8"/>
  <c r="AD27" i="29" s="1"/>
  <c r="AD79" i="29" s="1"/>
  <c r="AB25" i="9"/>
  <c r="X29" i="8"/>
  <c r="W29" i="29" s="1"/>
  <c r="W81" i="29" s="1"/>
  <c r="X6" i="8"/>
  <c r="W6" i="29" s="1"/>
  <c r="W58" i="29" s="1"/>
  <c r="L47" i="8"/>
  <c r="L47" i="29" s="1"/>
  <c r="L99" i="29" s="1"/>
  <c r="N19" i="12"/>
  <c r="N19" i="30" s="1"/>
  <c r="N62" i="30" s="1"/>
  <c r="N19" i="13"/>
  <c r="N17" i="12"/>
  <c r="N17" i="30" s="1"/>
  <c r="N60" i="30" s="1"/>
  <c r="N17" i="13"/>
  <c r="N38" i="12"/>
  <c r="N38" i="13"/>
  <c r="N27" i="12"/>
  <c r="N27" i="13"/>
  <c r="N16" i="12"/>
  <c r="N16" i="30" s="1"/>
  <c r="N59" i="30" s="1"/>
  <c r="N16" i="13"/>
  <c r="O10" i="8"/>
  <c r="O10" i="29" s="1"/>
  <c r="O62" i="29" s="1"/>
  <c r="Y50" i="9"/>
  <c r="Y38" i="9"/>
  <c r="Y37" i="9"/>
  <c r="Y28" i="9"/>
  <c r="Y8" i="9"/>
  <c r="Y17" i="9"/>
  <c r="M17" i="9"/>
  <c r="W35" i="8"/>
  <c r="V35" i="29" s="1"/>
  <c r="V87" i="29" s="1"/>
  <c r="AC8" i="8"/>
  <c r="AA8" i="29" s="1"/>
  <c r="AA60" i="29" s="1"/>
  <c r="AC23" i="8"/>
  <c r="AA23" i="29" s="1"/>
  <c r="AA75" i="29" s="1"/>
  <c r="X25" i="8"/>
  <c r="W25" i="29" s="1"/>
  <c r="W77" i="29" s="1"/>
  <c r="X17" i="8"/>
  <c r="W17" i="29" s="1"/>
  <c r="W69" i="29" s="1"/>
  <c r="Q18" i="8"/>
  <c r="Q18" i="29" s="1"/>
  <c r="Q70" i="29" s="1"/>
  <c r="L30" i="8"/>
  <c r="L30" i="29" s="1"/>
  <c r="L82" i="29" s="1"/>
  <c r="W36" i="8"/>
  <c r="V36" i="29" s="1"/>
  <c r="V88" i="29" s="1"/>
  <c r="W26" i="8"/>
  <c r="V26" i="29" s="1"/>
  <c r="V78" i="29" s="1"/>
  <c r="AH37" i="8"/>
  <c r="AD37" i="29" s="1"/>
  <c r="AD89" i="29" s="1"/>
  <c r="M29" i="9"/>
  <c r="U53" i="9"/>
  <c r="X51" i="8"/>
  <c r="W51" i="29" s="1"/>
  <c r="W103" i="29" s="1"/>
  <c r="X15" i="8"/>
  <c r="W15" i="29" s="1"/>
  <c r="W67" i="29" s="1"/>
  <c r="AI24" i="8"/>
  <c r="AE24" i="29" s="1"/>
  <c r="AE76" i="29" s="1"/>
  <c r="AC30" i="8"/>
  <c r="AA30" i="29" s="1"/>
  <c r="AA82" i="29" s="1"/>
  <c r="AB40" i="7"/>
  <c r="O33" i="8"/>
  <c r="O33" i="29" s="1"/>
  <c r="O85" i="29" s="1"/>
  <c r="T30" i="12"/>
  <c r="R30" i="30" s="1"/>
  <c r="R73" i="30" s="1"/>
  <c r="T30" i="13"/>
  <c r="M20" i="9"/>
  <c r="V41" i="8"/>
  <c r="U41" i="29" s="1"/>
  <c r="U93" i="29" s="1"/>
  <c r="V41" i="9"/>
  <c r="AB41" i="9" s="1"/>
  <c r="N31" i="12"/>
  <c r="N31" i="30" s="1"/>
  <c r="N74" i="30" s="1"/>
  <c r="N31" i="13"/>
  <c r="Y36" i="9"/>
  <c r="R58" i="7"/>
  <c r="S58" i="7"/>
  <c r="M11" i="9"/>
  <c r="P6" i="8"/>
  <c r="P6" i="29" s="1"/>
  <c r="P58" i="29" s="1"/>
  <c r="P31" i="8"/>
  <c r="P31" i="29" s="1"/>
  <c r="P83" i="29" s="1"/>
  <c r="AB36" i="7"/>
  <c r="AA39" i="11"/>
  <c r="Z39" i="12"/>
  <c r="Z39" i="13"/>
  <c r="AA39" i="13" s="1"/>
  <c r="Z20" i="12"/>
  <c r="V20" i="30" s="1"/>
  <c r="V63" i="30" s="1"/>
  <c r="AA20" i="11"/>
  <c r="Z20" i="13"/>
  <c r="AA20" i="13" s="1"/>
  <c r="AA37" i="11"/>
  <c r="Z37" i="12"/>
  <c r="V37" i="30" s="1"/>
  <c r="V80" i="30" s="1"/>
  <c r="Z37" i="13"/>
  <c r="AA37" i="13" s="1"/>
  <c r="AA42" i="11"/>
  <c r="Z42" i="12"/>
  <c r="V42" i="30" s="1"/>
  <c r="V85" i="30" s="1"/>
  <c r="Z42" i="13"/>
  <c r="AA42" i="13" s="1"/>
  <c r="AA10" i="11"/>
  <c r="Z10" i="12"/>
  <c r="V10" i="30" s="1"/>
  <c r="V53" i="30" s="1"/>
  <c r="Z10" i="13"/>
  <c r="AA10" i="13" s="1"/>
  <c r="P25" i="8"/>
  <c r="P25" i="29" s="1"/>
  <c r="P77" i="29" s="1"/>
  <c r="P24" i="8"/>
  <c r="P39" i="8"/>
  <c r="P39" i="29" s="1"/>
  <c r="P91" i="29" s="1"/>
  <c r="X35" i="8"/>
  <c r="W35" i="29" s="1"/>
  <c r="W87" i="29" s="1"/>
  <c r="U39" i="12"/>
  <c r="S39" i="30" s="1"/>
  <c r="S82" i="30" s="1"/>
  <c r="U39" i="13"/>
  <c r="U41" i="12"/>
  <c r="S41" i="30" s="1"/>
  <c r="S84" i="30" s="1"/>
  <c r="U41" i="13"/>
  <c r="U37" i="12"/>
  <c r="U37" i="13"/>
  <c r="U12" i="12"/>
  <c r="U12" i="13"/>
  <c r="U11" i="12"/>
  <c r="S11" i="30" s="1"/>
  <c r="S54" i="30" s="1"/>
  <c r="U11" i="13"/>
  <c r="AB11" i="7"/>
  <c r="M25" i="9"/>
  <c r="T23" i="12"/>
  <c r="T23" i="13"/>
  <c r="T26" i="12"/>
  <c r="R26" i="30" s="1"/>
  <c r="R69" i="30" s="1"/>
  <c r="T26" i="13"/>
  <c r="T40" i="12"/>
  <c r="T40" i="13"/>
  <c r="T17" i="12"/>
  <c r="T17" i="13"/>
  <c r="T11" i="12"/>
  <c r="T11" i="13"/>
  <c r="M16" i="9"/>
  <c r="P12" i="8"/>
  <c r="P12" i="29" s="1"/>
  <c r="P64" i="29" s="1"/>
  <c r="X26" i="8"/>
  <c r="W26" i="29" s="1"/>
  <c r="W78" i="29" s="1"/>
  <c r="Q53" i="9"/>
  <c r="V13" i="8"/>
  <c r="V13" i="9"/>
  <c r="AB13" i="9" s="1"/>
  <c r="V15" i="9"/>
  <c r="AB15" i="9" s="1"/>
  <c r="V23" i="8"/>
  <c r="U23" i="29" s="1"/>
  <c r="U75" i="29" s="1"/>
  <c r="V23" i="9"/>
  <c r="AB23" i="9" s="1"/>
  <c r="V28" i="9"/>
  <c r="AB28" i="9" s="1"/>
  <c r="V33" i="8"/>
  <c r="U33" i="29" s="1"/>
  <c r="U85" i="29" s="1"/>
  <c r="V33" i="9"/>
  <c r="AB33" i="9" s="1"/>
  <c r="V30" i="8"/>
  <c r="V30" i="9"/>
  <c r="AB30" i="9" s="1"/>
  <c r="O13" i="12"/>
  <c r="O13" i="13"/>
  <c r="O29" i="12"/>
  <c r="O29" i="13"/>
  <c r="O35" i="12"/>
  <c r="O35" i="30" s="1"/>
  <c r="O78" i="30" s="1"/>
  <c r="O35" i="13"/>
  <c r="O34" i="12"/>
  <c r="O34" i="13"/>
  <c r="O7" i="12"/>
  <c r="O7" i="13"/>
  <c r="M33" i="9"/>
  <c r="M7" i="9"/>
  <c r="AC12" i="8"/>
  <c r="AA12" i="29" s="1"/>
  <c r="AA64" i="29" s="1"/>
  <c r="P18" i="8"/>
  <c r="P18" i="29" s="1"/>
  <c r="P70" i="29" s="1"/>
  <c r="P40" i="8"/>
  <c r="P40" i="29" s="1"/>
  <c r="P92" i="29" s="1"/>
  <c r="Q39" i="8"/>
  <c r="Q39" i="29" s="1"/>
  <c r="Q91" i="29" s="1"/>
  <c r="N12" i="12"/>
  <c r="N12" i="13"/>
  <c r="N28" i="12"/>
  <c r="N28" i="13"/>
  <c r="N18" i="12"/>
  <c r="N18" i="30" s="1"/>
  <c r="N61" i="30" s="1"/>
  <c r="N18" i="13"/>
  <c r="N32" i="12"/>
  <c r="N32" i="30" s="1"/>
  <c r="N75" i="30" s="1"/>
  <c r="N32" i="13"/>
  <c r="N5" i="12"/>
  <c r="N5" i="13"/>
  <c r="N44" i="11"/>
  <c r="Y34" i="9"/>
  <c r="Y35" i="9"/>
  <c r="Y40" i="9"/>
  <c r="AB40" i="9" s="1"/>
  <c r="Y26" i="8"/>
  <c r="X26" i="29" s="1"/>
  <c r="X78" i="29" s="1"/>
  <c r="Y26" i="9"/>
  <c r="Y12" i="9"/>
  <c r="AB12" i="9" s="1"/>
  <c r="Y6" i="9"/>
  <c r="AB6" i="9" s="1"/>
  <c r="AH31" i="8"/>
  <c r="AD31" i="29" s="1"/>
  <c r="AD83" i="29" s="1"/>
  <c r="AB21" i="7"/>
  <c r="Q37" i="8"/>
  <c r="Q37" i="29" s="1"/>
  <c r="Q89" i="29" s="1"/>
  <c r="AH12" i="8"/>
  <c r="AD12" i="29" s="1"/>
  <c r="AD64" i="29" s="1"/>
  <c r="AH39" i="8"/>
  <c r="AD39" i="29" s="1"/>
  <c r="AD91" i="29" s="1"/>
  <c r="AC34" i="8"/>
  <c r="AA34" i="29" s="1"/>
  <c r="AA86" i="29" s="1"/>
  <c r="P35" i="8"/>
  <c r="P35" i="29" s="1"/>
  <c r="P87" i="29" s="1"/>
  <c r="AB51" i="7"/>
  <c r="M38" i="9"/>
  <c r="AC17" i="8"/>
  <c r="AA17" i="29" s="1"/>
  <c r="AA69" i="29" s="1"/>
  <c r="M26" i="9"/>
  <c r="AC19" i="8"/>
  <c r="AA19" i="29" s="1"/>
  <c r="AA71" i="29" s="1"/>
  <c r="P36" i="8"/>
  <c r="P36" i="29" s="1"/>
  <c r="P88" i="29" s="1"/>
  <c r="Q15" i="8"/>
  <c r="Q15" i="29" s="1"/>
  <c r="Q67" i="29" s="1"/>
  <c r="L29" i="8"/>
  <c r="L29" i="29" s="1"/>
  <c r="L81" i="29" s="1"/>
  <c r="L49" i="8"/>
  <c r="L49" i="29" s="1"/>
  <c r="L101" i="29" s="1"/>
  <c r="AI44" i="8"/>
  <c r="AE44" i="29" s="1"/>
  <c r="AE96" i="29" s="1"/>
  <c r="AI21" i="8"/>
  <c r="AE21" i="29" s="1"/>
  <c r="AE73" i="29" s="1"/>
  <c r="AI33" i="8"/>
  <c r="AE33" i="29" s="1"/>
  <c r="AE85" i="29" s="1"/>
  <c r="AI28" i="8"/>
  <c r="AE28" i="29" s="1"/>
  <c r="AE80" i="29" s="1"/>
  <c r="AI23" i="8"/>
  <c r="AE23" i="29" s="1"/>
  <c r="AE75" i="29" s="1"/>
  <c r="AI34" i="8"/>
  <c r="AE34" i="29" s="1"/>
  <c r="AE86" i="29" s="1"/>
  <c r="AI26" i="8"/>
  <c r="AE26" i="29" s="1"/>
  <c r="AE78" i="29" s="1"/>
  <c r="W30" i="8"/>
  <c r="V30" i="29" s="1"/>
  <c r="V82" i="29" s="1"/>
  <c r="L51" i="8"/>
  <c r="L51" i="29" s="1"/>
  <c r="L103" i="29" s="1"/>
  <c r="AA34" i="11"/>
  <c r="Z34" i="12"/>
  <c r="V34" i="30" s="1"/>
  <c r="V77" i="30" s="1"/>
  <c r="Z34" i="13"/>
  <c r="AA34" i="13" s="1"/>
  <c r="Z5" i="12"/>
  <c r="AA5" i="11"/>
  <c r="Z5" i="13"/>
  <c r="Z44" i="11"/>
  <c r="U16" i="12"/>
  <c r="U16" i="13"/>
  <c r="T8" i="12"/>
  <c r="T8" i="13"/>
  <c r="M48" i="9"/>
  <c r="V31" i="8"/>
  <c r="V31" i="9"/>
  <c r="O32" i="12"/>
  <c r="O32" i="30" s="1"/>
  <c r="O75" i="30" s="1"/>
  <c r="O32" i="13"/>
  <c r="O11" i="12"/>
  <c r="O11" i="30" s="1"/>
  <c r="O54" i="30" s="1"/>
  <c r="O11" i="13"/>
  <c r="N9" i="12"/>
  <c r="N9" i="30" s="1"/>
  <c r="N52" i="30" s="1"/>
  <c r="N9" i="13"/>
  <c r="Y46" i="9"/>
  <c r="Y20" i="8"/>
  <c r="X20" i="29" s="1"/>
  <c r="X72" i="29" s="1"/>
  <c r="Y20" i="9"/>
  <c r="P14" i="8"/>
  <c r="P14" i="29" s="1"/>
  <c r="P66" i="29" s="1"/>
  <c r="E35" i="5"/>
  <c r="L46" i="12"/>
  <c r="L46" i="10"/>
  <c r="L46" i="13"/>
  <c r="L46" i="11"/>
  <c r="M50" i="9"/>
  <c r="X38" i="8"/>
  <c r="W38" i="29" s="1"/>
  <c r="W90" i="29" s="1"/>
  <c r="M13" i="9"/>
  <c r="AA26" i="11"/>
  <c r="Z26" i="12"/>
  <c r="Z26" i="13"/>
  <c r="AA26" i="13" s="1"/>
  <c r="AA33" i="11"/>
  <c r="Z33" i="12"/>
  <c r="V33" i="30" s="1"/>
  <c r="V76" i="30" s="1"/>
  <c r="Z33" i="13"/>
  <c r="AA33" i="13" s="1"/>
  <c r="Z19" i="12"/>
  <c r="AA19" i="11"/>
  <c r="Z19" i="13"/>
  <c r="AA19" i="13" s="1"/>
  <c r="AA38" i="11"/>
  <c r="Z38" i="12"/>
  <c r="Z38" i="13"/>
  <c r="AA38" i="13" s="1"/>
  <c r="Z16" i="12"/>
  <c r="V16" i="30" s="1"/>
  <c r="V59" i="30" s="1"/>
  <c r="AA16" i="11"/>
  <c r="Z16" i="13"/>
  <c r="AA16" i="13" s="1"/>
  <c r="O24" i="8"/>
  <c r="O24" i="29" s="1"/>
  <c r="O76" i="29" s="1"/>
  <c r="U13" i="12"/>
  <c r="S13" i="30" s="1"/>
  <c r="S56" i="30" s="1"/>
  <c r="U13" i="13"/>
  <c r="U19" i="12"/>
  <c r="U19" i="13"/>
  <c r="U28" i="12"/>
  <c r="S28" i="30" s="1"/>
  <c r="S71" i="30" s="1"/>
  <c r="U28" i="13"/>
  <c r="U14" i="12"/>
  <c r="S14" i="30" s="1"/>
  <c r="S57" i="30" s="1"/>
  <c r="U14" i="13"/>
  <c r="O22" i="8"/>
  <c r="O22" i="29" s="1"/>
  <c r="O74" i="29" s="1"/>
  <c r="M31" i="9"/>
  <c r="AH42" i="8"/>
  <c r="AD42" i="29" s="1"/>
  <c r="AD94" i="29" s="1"/>
  <c r="AC42" i="8"/>
  <c r="AA42" i="29" s="1"/>
  <c r="AA94" i="29" s="1"/>
  <c r="P23" i="8"/>
  <c r="P51" i="8"/>
  <c r="P51" i="29" s="1"/>
  <c r="P103" i="29" s="1"/>
  <c r="X31" i="8"/>
  <c r="W31" i="29" s="1"/>
  <c r="W83" i="29" s="1"/>
  <c r="T22" i="12"/>
  <c r="R22" i="30" s="1"/>
  <c r="R65" i="30" s="1"/>
  <c r="T22" i="13"/>
  <c r="T32" i="12"/>
  <c r="R32" i="30" s="1"/>
  <c r="R75" i="30" s="1"/>
  <c r="T32" i="13"/>
  <c r="T18" i="12"/>
  <c r="T18" i="13"/>
  <c r="T31" i="12"/>
  <c r="T31" i="13"/>
  <c r="T6" i="12"/>
  <c r="R6" i="30" s="1"/>
  <c r="R49" i="30" s="1"/>
  <c r="T6" i="13"/>
  <c r="M5" i="9"/>
  <c r="M53" i="7"/>
  <c r="M58" i="7" s="1"/>
  <c r="M30" i="8" s="1"/>
  <c r="M30" i="29" s="1"/>
  <c r="M82" i="29" s="1"/>
  <c r="AH18" i="8"/>
  <c r="AD18" i="29" s="1"/>
  <c r="AD70" i="29" s="1"/>
  <c r="AH49" i="8"/>
  <c r="AD49" i="29" s="1"/>
  <c r="AD101" i="29" s="1"/>
  <c r="AB30" i="7"/>
  <c r="Q5" i="8"/>
  <c r="Q5" i="29" s="1"/>
  <c r="Q57" i="29" s="1"/>
  <c r="Q49" i="8"/>
  <c r="Q49" i="29" s="1"/>
  <c r="Q101" i="29" s="1"/>
  <c r="O45" i="8"/>
  <c r="O45" i="29" s="1"/>
  <c r="O97" i="29" s="1"/>
  <c r="O14" i="8"/>
  <c r="O14" i="29" s="1"/>
  <c r="O66" i="29" s="1"/>
  <c r="V17" i="8"/>
  <c r="V17" i="9"/>
  <c r="AB17" i="9" s="1"/>
  <c r="V19" i="8"/>
  <c r="U19" i="29" s="1"/>
  <c r="U71" i="29" s="1"/>
  <c r="V19" i="9"/>
  <c r="AB19" i="9" s="1"/>
  <c r="V27" i="8"/>
  <c r="U27" i="29" s="1"/>
  <c r="U79" i="29" s="1"/>
  <c r="V27" i="9"/>
  <c r="V32" i="8"/>
  <c r="V32" i="9"/>
  <c r="AB32" i="9" s="1"/>
  <c r="V37" i="8"/>
  <c r="V37" i="9"/>
  <c r="V34" i="8"/>
  <c r="U34" i="29" s="1"/>
  <c r="U86" i="29" s="1"/>
  <c r="V34" i="9"/>
  <c r="AB34" i="9" s="1"/>
  <c r="O36" i="12"/>
  <c r="O36" i="13"/>
  <c r="O20" i="12"/>
  <c r="O20" i="13"/>
  <c r="O25" i="12"/>
  <c r="O25" i="30" s="1"/>
  <c r="O68" i="30" s="1"/>
  <c r="O25" i="13"/>
  <c r="O19" i="12"/>
  <c r="O19" i="30" s="1"/>
  <c r="O62" i="30" s="1"/>
  <c r="O19" i="13"/>
  <c r="O9" i="12"/>
  <c r="O9" i="13"/>
  <c r="AH44" i="8"/>
  <c r="AD44" i="29" s="1"/>
  <c r="AD96" i="29" s="1"/>
  <c r="AC33" i="8"/>
  <c r="AA33" i="29" s="1"/>
  <c r="AA85" i="29" s="1"/>
  <c r="AB25" i="7"/>
  <c r="X28" i="8"/>
  <c r="W28" i="29" s="1"/>
  <c r="W80" i="29" s="1"/>
  <c r="X12" i="8"/>
  <c r="W12" i="29" s="1"/>
  <c r="W64" i="29" s="1"/>
  <c r="L44" i="8"/>
  <c r="L44" i="29" s="1"/>
  <c r="L96" i="29" s="1"/>
  <c r="N41" i="12"/>
  <c r="N41" i="13"/>
  <c r="N34" i="12"/>
  <c r="N34" i="13"/>
  <c r="N15" i="12"/>
  <c r="N15" i="13"/>
  <c r="N33" i="12"/>
  <c r="N33" i="30" s="1"/>
  <c r="N76" i="30" s="1"/>
  <c r="N33" i="13"/>
  <c r="N7" i="12"/>
  <c r="N7" i="13"/>
  <c r="O12" i="8"/>
  <c r="O12" i="29" s="1"/>
  <c r="O64" i="29" s="1"/>
  <c r="Y31" i="9"/>
  <c r="AB31" i="9" s="1"/>
  <c r="Y24" i="9"/>
  <c r="Y47" i="9"/>
  <c r="AB47" i="9" s="1"/>
  <c r="Y22" i="9"/>
  <c r="Y16" i="9"/>
  <c r="AB16" i="9" s="1"/>
  <c r="Y10" i="9"/>
  <c r="AB10" i="9" s="1"/>
  <c r="W21" i="8"/>
  <c r="V21" i="29" s="1"/>
  <c r="V73" i="29" s="1"/>
  <c r="AB27" i="7"/>
  <c r="X24" i="8"/>
  <c r="W24" i="29" s="1"/>
  <c r="W76" i="29" s="1"/>
  <c r="M40" i="9"/>
  <c r="L45" i="8"/>
  <c r="L45" i="29" s="1"/>
  <c r="L97" i="29" s="1"/>
  <c r="AH8" i="8"/>
  <c r="AD8" i="29" s="1"/>
  <c r="AD60" i="29" s="1"/>
  <c r="AB48" i="7"/>
  <c r="X21" i="8"/>
  <c r="W21" i="29" s="1"/>
  <c r="W73" i="29" s="1"/>
  <c r="AI50" i="8"/>
  <c r="AE50" i="29" s="1"/>
  <c r="AE102" i="29" s="1"/>
  <c r="AI53" i="9"/>
  <c r="AI42" i="8"/>
  <c r="AE42" i="29" s="1"/>
  <c r="AE94" i="29" s="1"/>
  <c r="E10" i="5"/>
  <c r="N57" i="6"/>
  <c r="F10" i="5"/>
  <c r="F29" i="5" s="1"/>
  <c r="N58" i="6"/>
  <c r="D47" i="5"/>
  <c r="D29" i="5"/>
  <c r="S19" i="30" l="1"/>
  <c r="S62" i="30" s="1"/>
  <c r="N15" i="30"/>
  <c r="N58" i="30" s="1"/>
  <c r="U37" i="29"/>
  <c r="U89" i="29" s="1"/>
  <c r="U17" i="29"/>
  <c r="U69" i="29" s="1"/>
  <c r="V26" i="30"/>
  <c r="V69" i="30" s="1"/>
  <c r="N28" i="30"/>
  <c r="N71" i="30" s="1"/>
  <c r="O29" i="30"/>
  <c r="O72" i="30" s="1"/>
  <c r="S37" i="30"/>
  <c r="S80" i="30" s="1"/>
  <c r="N38" i="30"/>
  <c r="N81" i="30" s="1"/>
  <c r="O5" i="30"/>
  <c r="O48" i="30" s="1"/>
  <c r="O31" i="30"/>
  <c r="O74" i="30" s="1"/>
  <c r="R9" i="30"/>
  <c r="R52" i="30" s="1"/>
  <c r="V18" i="30"/>
  <c r="V61" i="30" s="1"/>
  <c r="N37" i="30"/>
  <c r="N80" i="30" s="1"/>
  <c r="R37" i="30"/>
  <c r="R80" i="30" s="1"/>
  <c r="S35" i="30"/>
  <c r="S78" i="30" s="1"/>
  <c r="R5" i="30"/>
  <c r="R48" i="30" s="1"/>
  <c r="S34" i="30"/>
  <c r="S77" i="30" s="1"/>
  <c r="N14" i="30"/>
  <c r="N57" i="30" s="1"/>
  <c r="O27" i="30"/>
  <c r="O70" i="30" s="1"/>
  <c r="R27" i="30"/>
  <c r="R70" i="30" s="1"/>
  <c r="S21" i="30"/>
  <c r="S64" i="30" s="1"/>
  <c r="O33" i="30"/>
  <c r="O76" i="30" s="1"/>
  <c r="V29" i="30"/>
  <c r="V72" i="30" s="1"/>
  <c r="S33" i="30"/>
  <c r="S76" i="30" s="1"/>
  <c r="P16" i="11"/>
  <c r="P9" i="11"/>
  <c r="P24" i="11"/>
  <c r="P41" i="11"/>
  <c r="P19" i="11"/>
  <c r="P10" i="11"/>
  <c r="P7" i="11"/>
  <c r="P34" i="11"/>
  <c r="P21" i="11"/>
  <c r="P28" i="11"/>
  <c r="P8" i="11"/>
  <c r="P23" i="11"/>
  <c r="P39" i="11"/>
  <c r="P37" i="11"/>
  <c r="P26" i="11"/>
  <c r="P6" i="11"/>
  <c r="P17" i="11"/>
  <c r="P32" i="11"/>
  <c r="P29" i="11"/>
  <c r="P35" i="11"/>
  <c r="P20" i="11"/>
  <c r="P18" i="11"/>
  <c r="P42" i="11"/>
  <c r="P14" i="11"/>
  <c r="P25" i="11"/>
  <c r="P15" i="11"/>
  <c r="P27" i="11"/>
  <c r="P33" i="11"/>
  <c r="P31" i="11"/>
  <c r="P13" i="11"/>
  <c r="P36" i="11"/>
  <c r="P40" i="11"/>
  <c r="P22" i="11"/>
  <c r="P5" i="11"/>
  <c r="P11" i="11"/>
  <c r="P30" i="11"/>
  <c r="P12" i="11"/>
  <c r="P38" i="11"/>
  <c r="S39" i="11"/>
  <c r="R39" i="12"/>
  <c r="R39" i="13"/>
  <c r="S39" i="13" s="1"/>
  <c r="R27" i="12"/>
  <c r="S27" i="11"/>
  <c r="R27" i="13"/>
  <c r="S27" i="13" s="1"/>
  <c r="R16" i="12"/>
  <c r="S16" i="11"/>
  <c r="R16" i="13"/>
  <c r="S16" i="13" s="1"/>
  <c r="R15" i="12"/>
  <c r="S15" i="11"/>
  <c r="R15" i="13"/>
  <c r="S15" i="13" s="1"/>
  <c r="R11" i="12"/>
  <c r="R11" i="13"/>
  <c r="S11" i="13" s="1"/>
  <c r="S11" i="11"/>
  <c r="R41" i="12"/>
  <c r="S41" i="11"/>
  <c r="R41" i="13"/>
  <c r="S41" i="13" s="1"/>
  <c r="R31" i="13"/>
  <c r="S31" i="13" s="1"/>
  <c r="R31" i="12"/>
  <c r="S31" i="11"/>
  <c r="R7" i="12"/>
  <c r="S7" i="11"/>
  <c r="R7" i="13"/>
  <c r="S7" i="13" s="1"/>
  <c r="R23" i="12"/>
  <c r="S23" i="11"/>
  <c r="R23" i="13"/>
  <c r="S23" i="13" s="1"/>
  <c r="S13" i="11"/>
  <c r="R13" i="12"/>
  <c r="R13" i="13"/>
  <c r="S13" i="13" s="1"/>
  <c r="U32" i="29"/>
  <c r="U84" i="29" s="1"/>
  <c r="N5" i="30"/>
  <c r="N48" i="30" s="1"/>
  <c r="N12" i="30"/>
  <c r="N55" i="30" s="1"/>
  <c r="O7" i="30"/>
  <c r="O50" i="30" s="1"/>
  <c r="O13" i="30"/>
  <c r="O56" i="30" s="1"/>
  <c r="R40" i="30"/>
  <c r="R83" i="30" s="1"/>
  <c r="V30" i="30"/>
  <c r="V73" i="30" s="1"/>
  <c r="N42" i="30"/>
  <c r="N85" i="30" s="1"/>
  <c r="R7" i="30"/>
  <c r="R50" i="30" s="1"/>
  <c r="S7" i="30"/>
  <c r="S50" i="30" s="1"/>
  <c r="S20" i="30"/>
  <c r="S63" i="30" s="1"/>
  <c r="V32" i="30"/>
  <c r="V75" i="30" s="1"/>
  <c r="R40" i="13"/>
  <c r="S40" i="13" s="1"/>
  <c r="R40" i="12"/>
  <c r="S40" i="11"/>
  <c r="R10" i="12"/>
  <c r="S10" i="11"/>
  <c r="R10" i="13"/>
  <c r="S10" i="13" s="1"/>
  <c r="R34" i="12"/>
  <c r="S34" i="11"/>
  <c r="R34" i="13"/>
  <c r="S34" i="13" s="1"/>
  <c r="R18" i="12"/>
  <c r="S18" i="11"/>
  <c r="R18" i="13"/>
  <c r="S18" i="13" s="1"/>
  <c r="S14" i="11"/>
  <c r="R14" i="13"/>
  <c r="S14" i="13" s="1"/>
  <c r="R14" i="12"/>
  <c r="V5" i="30"/>
  <c r="V48" i="30" s="1"/>
  <c r="O24" i="30"/>
  <c r="O67" i="30" s="1"/>
  <c r="R38" i="30"/>
  <c r="R81" i="30" s="1"/>
  <c r="N36" i="30"/>
  <c r="N79" i="30" s="1"/>
  <c r="O17" i="30"/>
  <c r="O60" i="30" s="1"/>
  <c r="V14" i="30"/>
  <c r="V57" i="30" s="1"/>
  <c r="N11" i="30"/>
  <c r="N54" i="30" s="1"/>
  <c r="N25" i="30"/>
  <c r="N68" i="30" s="1"/>
  <c r="S23" i="30"/>
  <c r="S66" i="30" s="1"/>
  <c r="V24" i="30"/>
  <c r="V67" i="30" s="1"/>
  <c r="R33" i="12"/>
  <c r="S33" i="11"/>
  <c r="R33" i="13"/>
  <c r="S33" i="13" s="1"/>
  <c r="R21" i="12"/>
  <c r="S21" i="11"/>
  <c r="R21" i="13"/>
  <c r="S21" i="13" s="1"/>
  <c r="S38" i="11"/>
  <c r="R38" i="13"/>
  <c r="S38" i="13" s="1"/>
  <c r="R38" i="12"/>
  <c r="R22" i="13"/>
  <c r="S22" i="13" s="1"/>
  <c r="R22" i="12"/>
  <c r="S22" i="11"/>
  <c r="N34" i="30"/>
  <c r="N77" i="30" s="1"/>
  <c r="O20" i="30"/>
  <c r="O63" i="30" s="1"/>
  <c r="N7" i="30"/>
  <c r="N50" i="30" s="1"/>
  <c r="N41" i="30"/>
  <c r="N84" i="30" s="1"/>
  <c r="O9" i="30"/>
  <c r="O52" i="30" s="1"/>
  <c r="O36" i="30"/>
  <c r="O79" i="30" s="1"/>
  <c r="R8" i="30"/>
  <c r="R51" i="30" s="1"/>
  <c r="O34" i="30"/>
  <c r="O77" i="30" s="1"/>
  <c r="U30" i="29"/>
  <c r="U82" i="29" s="1"/>
  <c r="U13" i="29"/>
  <c r="U65" i="29" s="1"/>
  <c r="R11" i="30"/>
  <c r="R54" i="30" s="1"/>
  <c r="O40" i="30"/>
  <c r="O83" i="30" s="1"/>
  <c r="U24" i="29"/>
  <c r="U76" i="29" s="1"/>
  <c r="R39" i="30"/>
  <c r="R82" i="30" s="1"/>
  <c r="V35" i="30"/>
  <c r="V78" i="30" s="1"/>
  <c r="O22" i="30"/>
  <c r="O65" i="30" s="1"/>
  <c r="S26" i="30"/>
  <c r="S69" i="30" s="1"/>
  <c r="N10" i="30"/>
  <c r="N53" i="30" s="1"/>
  <c r="N40" i="30"/>
  <c r="N83" i="30" s="1"/>
  <c r="N35" i="30"/>
  <c r="N78" i="30" s="1"/>
  <c r="O26" i="30"/>
  <c r="O69" i="30" s="1"/>
  <c r="R16" i="30"/>
  <c r="R59" i="30" s="1"/>
  <c r="V22" i="30"/>
  <c r="V65" i="30" s="1"/>
  <c r="M6" i="11"/>
  <c r="M36" i="11"/>
  <c r="M21" i="11"/>
  <c r="M28" i="11"/>
  <c r="M11" i="11"/>
  <c r="M25" i="11"/>
  <c r="M38" i="11"/>
  <c r="M23" i="11"/>
  <c r="M30" i="11"/>
  <c r="M9" i="11"/>
  <c r="M29" i="11"/>
  <c r="M27" i="11"/>
  <c r="M7" i="11"/>
  <c r="M20" i="11"/>
  <c r="M34" i="11"/>
  <c r="M31" i="11"/>
  <c r="M19" i="11"/>
  <c r="M5" i="11"/>
  <c r="M22" i="11"/>
  <c r="M12" i="11"/>
  <c r="M37" i="11"/>
  <c r="M18" i="11"/>
  <c r="M35" i="11"/>
  <c r="M16" i="11"/>
  <c r="M24" i="11"/>
  <c r="M14" i="11"/>
  <c r="M15" i="11"/>
  <c r="M17" i="11"/>
  <c r="M10" i="11"/>
  <c r="M41" i="11"/>
  <c r="M39" i="11"/>
  <c r="M32" i="11"/>
  <c r="M33" i="11"/>
  <c r="M8" i="11"/>
  <c r="M26" i="11"/>
  <c r="M42" i="11"/>
  <c r="M13" i="11"/>
  <c r="M40" i="11"/>
  <c r="S12" i="11"/>
  <c r="R12" i="13"/>
  <c r="S12" i="13" s="1"/>
  <c r="R12" i="12"/>
  <c r="S37" i="11"/>
  <c r="R37" i="12"/>
  <c r="R37" i="13"/>
  <c r="S37" i="13" s="1"/>
  <c r="R26" i="12"/>
  <c r="S26" i="11"/>
  <c r="R26" i="13"/>
  <c r="S26" i="13" s="1"/>
  <c r="R9" i="12"/>
  <c r="S9" i="11"/>
  <c r="R9" i="13"/>
  <c r="S9" i="13" s="1"/>
  <c r="O16" i="30"/>
  <c r="O59" i="30" s="1"/>
  <c r="O30" i="30"/>
  <c r="O73" i="30" s="1"/>
  <c r="O14" i="30"/>
  <c r="O57" i="30" s="1"/>
  <c r="V21" i="30"/>
  <c r="V64" i="30" s="1"/>
  <c r="R30" i="13"/>
  <c r="S30" i="13" s="1"/>
  <c r="R30" i="12"/>
  <c r="S30" i="11"/>
  <c r="S32" i="11"/>
  <c r="R32" i="13"/>
  <c r="S32" i="13" s="1"/>
  <c r="R32" i="12"/>
  <c r="R20" i="12"/>
  <c r="S20" i="11"/>
  <c r="R20" i="13"/>
  <c r="S20" i="13" s="1"/>
  <c r="S8" i="11"/>
  <c r="R8" i="13"/>
  <c r="S8" i="13" s="1"/>
  <c r="R8" i="12"/>
  <c r="S42" i="11"/>
  <c r="R42" i="13"/>
  <c r="S42" i="13" s="1"/>
  <c r="R42" i="12"/>
  <c r="N24" i="30"/>
  <c r="N67" i="30" s="1"/>
  <c r="O8" i="30"/>
  <c r="O51" i="30" s="1"/>
  <c r="AB48" i="9"/>
  <c r="S32" i="30"/>
  <c r="S75" i="30" s="1"/>
  <c r="S40" i="30"/>
  <c r="S83" i="30" s="1"/>
  <c r="V27" i="30"/>
  <c r="V70" i="30" s="1"/>
  <c r="R34" i="30"/>
  <c r="R77" i="30" s="1"/>
  <c r="O42" i="30"/>
  <c r="O85" i="30" s="1"/>
  <c r="V12" i="30"/>
  <c r="V55" i="30" s="1"/>
  <c r="S17" i="11"/>
  <c r="R17" i="12"/>
  <c r="R17" i="13"/>
  <c r="S17" i="13" s="1"/>
  <c r="R36" i="12"/>
  <c r="S36" i="11"/>
  <c r="R36" i="13"/>
  <c r="S36" i="13" s="1"/>
  <c r="R25" i="12"/>
  <c r="S25" i="11"/>
  <c r="R25" i="13"/>
  <c r="S25" i="13" s="1"/>
  <c r="S28" i="11"/>
  <c r="R28" i="13"/>
  <c r="S28" i="13" s="1"/>
  <c r="R28" i="12"/>
  <c r="R24" i="12"/>
  <c r="S24" i="11"/>
  <c r="R24" i="13"/>
  <c r="S24" i="13" s="1"/>
  <c r="V38" i="30"/>
  <c r="V81" i="30" s="1"/>
  <c r="U31" i="29"/>
  <c r="U83" i="29" s="1"/>
  <c r="S16" i="30"/>
  <c r="S59" i="30" s="1"/>
  <c r="R17" i="30"/>
  <c r="R60" i="30" s="1"/>
  <c r="S12" i="30"/>
  <c r="S55" i="30" s="1"/>
  <c r="V39" i="30"/>
  <c r="V82" i="30" s="1"/>
  <c r="N27" i="30"/>
  <c r="N70" i="30" s="1"/>
  <c r="S10" i="30"/>
  <c r="S53" i="30" s="1"/>
  <c r="V15" i="30"/>
  <c r="V58" i="30" s="1"/>
  <c r="N39" i="30"/>
  <c r="N82" i="30" s="1"/>
  <c r="O41" i="30"/>
  <c r="O84" i="30" s="1"/>
  <c r="V40" i="30"/>
  <c r="V83" i="30" s="1"/>
  <c r="R21" i="30"/>
  <c r="R64" i="30" s="1"/>
  <c r="S31" i="30"/>
  <c r="S74" i="30" s="1"/>
  <c r="V10" i="11"/>
  <c r="V18" i="11"/>
  <c r="V23" i="11"/>
  <c r="V19" i="11"/>
  <c r="V29" i="11"/>
  <c r="V8" i="11"/>
  <c r="V28" i="11"/>
  <c r="V15" i="11"/>
  <c r="V33" i="11"/>
  <c r="V6" i="11"/>
  <c r="V22" i="11"/>
  <c r="V34" i="11"/>
  <c r="V27" i="11"/>
  <c r="V11" i="11"/>
  <c r="V38" i="11"/>
  <c r="V14" i="11"/>
  <c r="V39" i="11"/>
  <c r="V40" i="11"/>
  <c r="V9" i="11"/>
  <c r="V35" i="11"/>
  <c r="V25" i="11"/>
  <c r="V31" i="11"/>
  <c r="V41" i="11"/>
  <c r="V7" i="11"/>
  <c r="V21" i="11"/>
  <c r="V26" i="11"/>
  <c r="V24" i="11"/>
  <c r="V13" i="11"/>
  <c r="V5" i="11"/>
  <c r="V37" i="11"/>
  <c r="V36" i="11"/>
  <c r="V42" i="11"/>
  <c r="V12" i="11"/>
  <c r="V16" i="11"/>
  <c r="V17" i="11"/>
  <c r="V30" i="11"/>
  <c r="V32" i="11"/>
  <c r="V20" i="11"/>
  <c r="R6" i="12"/>
  <c r="S6" i="11"/>
  <c r="R6" i="13"/>
  <c r="S6" i="13" s="1"/>
  <c r="R29" i="12"/>
  <c r="S29" i="11"/>
  <c r="R29" i="13"/>
  <c r="S29" i="13" s="1"/>
  <c r="R5" i="12"/>
  <c r="S5" i="11"/>
  <c r="R44" i="11"/>
  <c r="R5" i="13"/>
  <c r="S35" i="11"/>
  <c r="R35" i="12"/>
  <c r="R35" i="13"/>
  <c r="S35" i="13" s="1"/>
  <c r="R19" i="12"/>
  <c r="S19" i="11"/>
  <c r="R19" i="13"/>
  <c r="S19" i="13" s="1"/>
  <c r="E9" i="32"/>
  <c r="E7" i="32"/>
  <c r="E13" i="32" s="1"/>
  <c r="H9" i="32"/>
  <c r="H11" i="32"/>
  <c r="D7" i="32"/>
  <c r="D13" i="32" s="1"/>
  <c r="D11" i="32"/>
  <c r="D9" i="32"/>
  <c r="I9" i="32"/>
  <c r="I11" i="32"/>
  <c r="I7" i="32"/>
  <c r="I13" i="32" s="1"/>
  <c r="L9" i="32"/>
  <c r="L11" i="32"/>
  <c r="E11" i="32"/>
  <c r="L11" i="31"/>
  <c r="L7" i="31"/>
  <c r="L13" i="31" s="1"/>
  <c r="T9" i="31"/>
  <c r="V15" i="8"/>
  <c r="U15" i="29" s="1"/>
  <c r="U67" i="29" s="1"/>
  <c r="V26" i="8"/>
  <c r="U26" i="29" s="1"/>
  <c r="U78" i="29" s="1"/>
  <c r="Q11" i="31"/>
  <c r="G9" i="31"/>
  <c r="R31" i="30"/>
  <c r="R74" i="30" s="1"/>
  <c r="AD49" i="8"/>
  <c r="AA49" i="29"/>
  <c r="AA101" i="29" s="1"/>
  <c r="Q7" i="31" s="1"/>
  <c r="Q13" i="31" s="1"/>
  <c r="V19" i="30"/>
  <c r="V62" i="30" s="1"/>
  <c r="AB29" i="9"/>
  <c r="U9" i="31"/>
  <c r="J7" i="31"/>
  <c r="J13" i="31" s="1"/>
  <c r="J11" i="31"/>
  <c r="R18" i="30"/>
  <c r="R61" i="30" s="1"/>
  <c r="V41" i="30"/>
  <c r="V84" i="30" s="1"/>
  <c r="F7" i="31"/>
  <c r="F13" i="31" s="1"/>
  <c r="F11" i="31"/>
  <c r="T11" i="31"/>
  <c r="T7" i="31"/>
  <c r="T13" i="31" s="1"/>
  <c r="U11" i="31"/>
  <c r="U7" i="31"/>
  <c r="U13" i="31" s="1"/>
  <c r="Q9" i="31"/>
  <c r="J9" i="31"/>
  <c r="V13" i="30"/>
  <c r="V56" i="30" s="1"/>
  <c r="L7" i="32" s="1"/>
  <c r="L13" i="32" s="1"/>
  <c r="G7" i="31"/>
  <c r="G13" i="31" s="1"/>
  <c r="G11" i="31"/>
  <c r="E9" i="31"/>
  <c r="E11" i="31"/>
  <c r="E7" i="31"/>
  <c r="E13" i="31" s="1"/>
  <c r="F9" i="31"/>
  <c r="M9" i="31"/>
  <c r="M11" i="31"/>
  <c r="M7" i="31"/>
  <c r="M13" i="31" s="1"/>
  <c r="B9" i="31"/>
  <c r="B7" i="31"/>
  <c r="B13" i="31" s="1"/>
  <c r="B11" i="31"/>
  <c r="L9" i="31"/>
  <c r="V46" i="8"/>
  <c r="U46" i="29" s="1"/>
  <c r="U98" i="29" s="1"/>
  <c r="R23" i="30"/>
  <c r="R66" i="30" s="1"/>
  <c r="AD30" i="8"/>
  <c r="Y30" i="8"/>
  <c r="X30" i="29" s="1"/>
  <c r="X82" i="29" s="1"/>
  <c r="Y22" i="8"/>
  <c r="X22" i="29" s="1"/>
  <c r="X74" i="29" s="1"/>
  <c r="AD33" i="8"/>
  <c r="AD17" i="8"/>
  <c r="Y37" i="8"/>
  <c r="X37" i="29" s="1"/>
  <c r="X89" i="29" s="1"/>
  <c r="AD14" i="8"/>
  <c r="Y11" i="8"/>
  <c r="X11" i="29" s="1"/>
  <c r="X63" i="29" s="1"/>
  <c r="Y27" i="8"/>
  <c r="X27" i="29" s="1"/>
  <c r="X79" i="29" s="1"/>
  <c r="Y45" i="8"/>
  <c r="X45" i="29" s="1"/>
  <c r="X97" i="29" s="1"/>
  <c r="Y14" i="8"/>
  <c r="X14" i="29" s="1"/>
  <c r="X66" i="29" s="1"/>
  <c r="AD37" i="8"/>
  <c r="AD18" i="8"/>
  <c r="Y46" i="8"/>
  <c r="X46" i="29" s="1"/>
  <c r="X98" i="29" s="1"/>
  <c r="Y40" i="8"/>
  <c r="X40" i="29" s="1"/>
  <c r="X92" i="29" s="1"/>
  <c r="AD22" i="8"/>
  <c r="Y44" i="8"/>
  <c r="X44" i="29" s="1"/>
  <c r="X96" i="29" s="1"/>
  <c r="Y9" i="8"/>
  <c r="X9" i="29" s="1"/>
  <c r="X61" i="29" s="1"/>
  <c r="Y33" i="8"/>
  <c r="X33" i="29" s="1"/>
  <c r="X85" i="29" s="1"/>
  <c r="AD43" i="8"/>
  <c r="Y39" i="8"/>
  <c r="X39" i="29" s="1"/>
  <c r="X91" i="29" s="1"/>
  <c r="AB27" i="9"/>
  <c r="AB15" i="8"/>
  <c r="Y36" i="8"/>
  <c r="X36" i="29" s="1"/>
  <c r="X88" i="29" s="1"/>
  <c r="Y17" i="8"/>
  <c r="X17" i="29" s="1"/>
  <c r="X69" i="29" s="1"/>
  <c r="Y38" i="8"/>
  <c r="X38" i="29" s="1"/>
  <c r="X90" i="29" s="1"/>
  <c r="AB11" i="9"/>
  <c r="U53" i="8"/>
  <c r="Y13" i="8"/>
  <c r="X13" i="29" s="1"/>
  <c r="X65" i="29" s="1"/>
  <c r="Y21" i="8"/>
  <c r="X21" i="29" s="1"/>
  <c r="X73" i="29" s="1"/>
  <c r="AD25" i="8"/>
  <c r="AD45" i="8"/>
  <c r="AD50" i="8"/>
  <c r="AD44" i="8"/>
  <c r="AD29" i="8"/>
  <c r="Y7" i="8"/>
  <c r="X7" i="29" s="1"/>
  <c r="X59" i="29" s="1"/>
  <c r="E42" i="5"/>
  <c r="E21" i="5"/>
  <c r="Y6" i="8"/>
  <c r="X6" i="29" s="1"/>
  <c r="X58" i="29" s="1"/>
  <c r="Y35" i="8"/>
  <c r="X35" i="29" s="1"/>
  <c r="X87" i="29" s="1"/>
  <c r="AB50" i="9"/>
  <c r="V11" i="8"/>
  <c r="U11" i="29" s="1"/>
  <c r="U63" i="29" s="1"/>
  <c r="AD21" i="8"/>
  <c r="AD20" i="8"/>
  <c r="Y25" i="8"/>
  <c r="X25" i="29" s="1"/>
  <c r="X77" i="29" s="1"/>
  <c r="Y23" i="8"/>
  <c r="X23" i="29" s="1"/>
  <c r="X75" i="29" s="1"/>
  <c r="Y19" i="8"/>
  <c r="X19" i="29" s="1"/>
  <c r="X71" i="29" s="1"/>
  <c r="AB14" i="9"/>
  <c r="AD16" i="8"/>
  <c r="Y29" i="8"/>
  <c r="X29" i="29" s="1"/>
  <c r="X81" i="29" s="1"/>
  <c r="AB35" i="9"/>
  <c r="Y47" i="8"/>
  <c r="X47" i="29" s="1"/>
  <c r="X99" i="29" s="1"/>
  <c r="Y10" i="8"/>
  <c r="X10" i="29" s="1"/>
  <c r="X62" i="29" s="1"/>
  <c r="Y24" i="8"/>
  <c r="X24" i="29" s="1"/>
  <c r="X76" i="29" s="1"/>
  <c r="AD34" i="8"/>
  <c r="AB13" i="8"/>
  <c r="Y8" i="8"/>
  <c r="X8" i="29" s="1"/>
  <c r="X60" i="29" s="1"/>
  <c r="Y50" i="8"/>
  <c r="X50" i="29" s="1"/>
  <c r="X102" i="29" s="1"/>
  <c r="AB26" i="8"/>
  <c r="Y51" i="8"/>
  <c r="X51" i="29" s="1"/>
  <c r="X103" i="29" s="1"/>
  <c r="Y41" i="8"/>
  <c r="X41" i="29" s="1"/>
  <c r="X93" i="29" s="1"/>
  <c r="V25" i="8"/>
  <c r="U25" i="29" s="1"/>
  <c r="U77" i="29" s="1"/>
  <c r="V14" i="8"/>
  <c r="U14" i="29" s="1"/>
  <c r="U66" i="29" s="1"/>
  <c r="AD10" i="8"/>
  <c r="AD35" i="8"/>
  <c r="AD42" i="8"/>
  <c r="Y12" i="8"/>
  <c r="X12" i="29" s="1"/>
  <c r="X64" i="29" s="1"/>
  <c r="Y34" i="8"/>
  <c r="X34" i="29" s="1"/>
  <c r="X86" i="29" s="1"/>
  <c r="AD12" i="8"/>
  <c r="AB33" i="8"/>
  <c r="AD23" i="8"/>
  <c r="AD48" i="8"/>
  <c r="Y48" i="8"/>
  <c r="X48" i="29" s="1"/>
  <c r="X100" i="29" s="1"/>
  <c r="Y32" i="8"/>
  <c r="X32" i="29" s="1"/>
  <c r="X84" i="29" s="1"/>
  <c r="AD40" i="8"/>
  <c r="AD6" i="8"/>
  <c r="Y16" i="8"/>
  <c r="X16" i="29" s="1"/>
  <c r="X68" i="29" s="1"/>
  <c r="Y31" i="8"/>
  <c r="X31" i="29" s="1"/>
  <c r="X83" i="29" s="1"/>
  <c r="AD19" i="8"/>
  <c r="AD8" i="8"/>
  <c r="Y28" i="8"/>
  <c r="X28" i="29" s="1"/>
  <c r="X80" i="29" s="1"/>
  <c r="Y42" i="8"/>
  <c r="X42" i="29" s="1"/>
  <c r="X94" i="29" s="1"/>
  <c r="AD36" i="8"/>
  <c r="AD39" i="8"/>
  <c r="AB38" i="9"/>
  <c r="AD15" i="8"/>
  <c r="AD38" i="8"/>
  <c r="Y18" i="8"/>
  <c r="X18" i="29" s="1"/>
  <c r="X70" i="29" s="1"/>
  <c r="AD51" i="8"/>
  <c r="AD46" i="8"/>
  <c r="AD41" i="8"/>
  <c r="AA13" i="12"/>
  <c r="AA41" i="12"/>
  <c r="AA15" i="12"/>
  <c r="AA31" i="12"/>
  <c r="AA14" i="12"/>
  <c r="AA29" i="12"/>
  <c r="AA8" i="12"/>
  <c r="AA18" i="12"/>
  <c r="AA6" i="12"/>
  <c r="AA33" i="12"/>
  <c r="AA10" i="12"/>
  <c r="AA20" i="12"/>
  <c r="AA30" i="12"/>
  <c r="AA32" i="12"/>
  <c r="AA9" i="12"/>
  <c r="AA7" i="12"/>
  <c r="F47" i="5"/>
  <c r="AA26" i="12"/>
  <c r="AI53" i="8"/>
  <c r="AA42" i="12"/>
  <c r="AA21" i="12"/>
  <c r="AA27" i="12"/>
  <c r="AA23" i="12"/>
  <c r="AA24" i="12"/>
  <c r="AA16" i="12"/>
  <c r="AA38" i="12"/>
  <c r="AA39" i="12"/>
  <c r="AA35" i="12"/>
  <c r="AA36" i="12"/>
  <c r="AA11" i="12"/>
  <c r="AA22" i="12"/>
  <c r="AA40" i="12"/>
  <c r="AA34" i="12"/>
  <c r="AA19" i="12"/>
  <c r="AA37" i="12"/>
  <c r="AA25" i="12"/>
  <c r="AA28" i="12"/>
  <c r="AA17" i="12"/>
  <c r="AA12" i="12"/>
  <c r="AB41" i="8"/>
  <c r="AB36" i="9"/>
  <c r="AB21" i="8"/>
  <c r="L48" i="11"/>
  <c r="AB49" i="9"/>
  <c r="AB8" i="9"/>
  <c r="AB31" i="8"/>
  <c r="AB24" i="9"/>
  <c r="AB22" i="9"/>
  <c r="V6" i="8"/>
  <c r="U6" i="29" s="1"/>
  <c r="U58" i="29" s="1"/>
  <c r="V48" i="8"/>
  <c r="U48" i="29" s="1"/>
  <c r="U100" i="29" s="1"/>
  <c r="AB34" i="8"/>
  <c r="AB46" i="9"/>
  <c r="AB24" i="8"/>
  <c r="AB19" i="8"/>
  <c r="AB37" i="9"/>
  <c r="AB39" i="9"/>
  <c r="AB42" i="9"/>
  <c r="AB37" i="8"/>
  <c r="AB53" i="7"/>
  <c r="AB20" i="9"/>
  <c r="AB26" i="9"/>
  <c r="V47" i="8"/>
  <c r="U47" i="29" s="1"/>
  <c r="U99" i="29" s="1"/>
  <c r="AA5" i="13"/>
  <c r="AA44" i="13" s="1"/>
  <c r="Z44" i="13"/>
  <c r="AM58" i="6"/>
  <c r="AM56" i="9"/>
  <c r="AM56" i="8"/>
  <c r="AM56" i="7"/>
  <c r="M53" i="9"/>
  <c r="M13" i="8"/>
  <c r="M13" i="29" s="1"/>
  <c r="M65" i="29" s="1"/>
  <c r="AA44" i="11"/>
  <c r="O44" i="12"/>
  <c r="V36" i="8"/>
  <c r="U36" i="29" s="1"/>
  <c r="U88" i="29" s="1"/>
  <c r="M39" i="8"/>
  <c r="M39" i="29" s="1"/>
  <c r="M91" i="29" s="1"/>
  <c r="V22" i="8"/>
  <c r="U22" i="29" s="1"/>
  <c r="U74" i="29" s="1"/>
  <c r="V7" i="8"/>
  <c r="U7" i="29" s="1"/>
  <c r="U59" i="29" s="1"/>
  <c r="M45" i="8"/>
  <c r="M45" i="29" s="1"/>
  <c r="M97" i="29" s="1"/>
  <c r="AB14" i="8"/>
  <c r="M42" i="8"/>
  <c r="M42" i="29" s="1"/>
  <c r="M94" i="29" s="1"/>
  <c r="T44" i="13"/>
  <c r="Y49" i="8"/>
  <c r="X49" i="29" s="1"/>
  <c r="X101" i="29" s="1"/>
  <c r="V42" i="8"/>
  <c r="U42" i="29" s="1"/>
  <c r="U94" i="29" s="1"/>
  <c r="V8" i="8"/>
  <c r="U8" i="29" s="1"/>
  <c r="U60" i="29" s="1"/>
  <c r="AH53" i="8"/>
  <c r="M34" i="8"/>
  <c r="M34" i="29" s="1"/>
  <c r="M86" i="29" s="1"/>
  <c r="M22" i="8"/>
  <c r="M22" i="29" s="1"/>
  <c r="M74" i="29" s="1"/>
  <c r="V53" i="9"/>
  <c r="M19" i="8"/>
  <c r="M19" i="29" s="1"/>
  <c r="M71" i="29" s="1"/>
  <c r="O53" i="8"/>
  <c r="AB45" i="13"/>
  <c r="AB45" i="12"/>
  <c r="X49" i="12" s="1"/>
  <c r="AB45" i="10"/>
  <c r="AB45" i="11"/>
  <c r="V43" i="8"/>
  <c r="U43" i="29" s="1"/>
  <c r="U95" i="29" s="1"/>
  <c r="T44" i="12"/>
  <c r="V44" i="8"/>
  <c r="U44" i="29" s="1"/>
  <c r="U96" i="29" s="1"/>
  <c r="M10" i="8"/>
  <c r="M10" i="29" s="1"/>
  <c r="M62" i="29" s="1"/>
  <c r="Y53" i="9"/>
  <c r="M41" i="8"/>
  <c r="M41" i="29" s="1"/>
  <c r="M93" i="29" s="1"/>
  <c r="M21" i="8"/>
  <c r="M21" i="29" s="1"/>
  <c r="M73" i="29" s="1"/>
  <c r="AA5" i="12"/>
  <c r="Z44" i="12"/>
  <c r="N44" i="13"/>
  <c r="M17" i="8"/>
  <c r="M17" i="29" s="1"/>
  <c r="M69" i="29" s="1"/>
  <c r="M43" i="8"/>
  <c r="M43" i="29" s="1"/>
  <c r="M95" i="29" s="1"/>
  <c r="M35" i="8"/>
  <c r="M35" i="29" s="1"/>
  <c r="M87" i="29" s="1"/>
  <c r="M14" i="8"/>
  <c r="M14" i="29" s="1"/>
  <c r="M66" i="29" s="1"/>
  <c r="AC53" i="8"/>
  <c r="V38" i="8"/>
  <c r="U38" i="29" s="1"/>
  <c r="U90" i="29" s="1"/>
  <c r="Y5" i="8"/>
  <c r="X5" i="29" s="1"/>
  <c r="X57" i="29" s="1"/>
  <c r="Y43" i="8"/>
  <c r="X43" i="29" s="1"/>
  <c r="X95" i="29" s="1"/>
  <c r="V45" i="8"/>
  <c r="U45" i="29" s="1"/>
  <c r="U97" i="29" s="1"/>
  <c r="V10" i="8"/>
  <c r="U10" i="29" s="1"/>
  <c r="U62" i="29" s="1"/>
  <c r="M12" i="8"/>
  <c r="M12" i="29" s="1"/>
  <c r="M64" i="29" s="1"/>
  <c r="M27" i="8"/>
  <c r="M27" i="29" s="1"/>
  <c r="M79" i="29" s="1"/>
  <c r="M5" i="8"/>
  <c r="M5" i="29" s="1"/>
  <c r="M57" i="29" s="1"/>
  <c r="M31" i="8"/>
  <c r="M31" i="29" s="1"/>
  <c r="M83" i="29" s="1"/>
  <c r="Q53" i="8"/>
  <c r="M7" i="8"/>
  <c r="M7" i="29" s="1"/>
  <c r="M59" i="29" s="1"/>
  <c r="Q46" i="13"/>
  <c r="Q46" i="12"/>
  <c r="Q46" i="11"/>
  <c r="Q46" i="10"/>
  <c r="N44" i="12"/>
  <c r="M16" i="8"/>
  <c r="M16" i="29" s="1"/>
  <c r="M68" i="29" s="1"/>
  <c r="M11" i="8"/>
  <c r="M11" i="29" s="1"/>
  <c r="M63" i="29" s="1"/>
  <c r="M32" i="8"/>
  <c r="M32" i="29" s="1"/>
  <c r="M84" i="29" s="1"/>
  <c r="M8" i="8"/>
  <c r="M8" i="29" s="1"/>
  <c r="M60" i="29" s="1"/>
  <c r="M49" i="8"/>
  <c r="M49" i="29" s="1"/>
  <c r="M101" i="29" s="1"/>
  <c r="V5" i="8"/>
  <c r="U5" i="29" s="1"/>
  <c r="U57" i="29" s="1"/>
  <c r="X53" i="8"/>
  <c r="M51" i="8"/>
  <c r="M51" i="29" s="1"/>
  <c r="M103" i="29" s="1"/>
  <c r="M44" i="8"/>
  <c r="M44" i="29" s="1"/>
  <c r="M96" i="29" s="1"/>
  <c r="V16" i="8"/>
  <c r="U16" i="29" s="1"/>
  <c r="U68" i="29" s="1"/>
  <c r="V39" i="8"/>
  <c r="U39" i="29" s="1"/>
  <c r="U91" i="29" s="1"/>
  <c r="M18" i="8"/>
  <c r="M18" i="29" s="1"/>
  <c r="M70" i="29" s="1"/>
  <c r="M46" i="8"/>
  <c r="M46" i="29" s="1"/>
  <c r="M98" i="29" s="1"/>
  <c r="M48" i="8"/>
  <c r="M48" i="29" s="1"/>
  <c r="M100" i="29" s="1"/>
  <c r="M26" i="8"/>
  <c r="M26" i="29" s="1"/>
  <c r="M78" i="29" s="1"/>
  <c r="M40" i="8"/>
  <c r="M40" i="29" s="1"/>
  <c r="M92" i="29" s="1"/>
  <c r="M38" i="8"/>
  <c r="M38" i="29" s="1"/>
  <c r="M90" i="29" s="1"/>
  <c r="T58" i="6"/>
  <c r="T56" i="9"/>
  <c r="T56" i="8"/>
  <c r="T56" i="7"/>
  <c r="M33" i="8"/>
  <c r="M33" i="29" s="1"/>
  <c r="M85" i="29" s="1"/>
  <c r="V28" i="8"/>
  <c r="U28" i="29" s="1"/>
  <c r="U80" i="29" s="1"/>
  <c r="M25" i="8"/>
  <c r="M25" i="29" s="1"/>
  <c r="M77" i="29" s="1"/>
  <c r="S29" i="8"/>
  <c r="S8" i="8"/>
  <c r="S38" i="8"/>
  <c r="S37" i="8"/>
  <c r="S22" i="8"/>
  <c r="S36" i="8"/>
  <c r="S21" i="8"/>
  <c r="S41" i="8"/>
  <c r="S11" i="8"/>
  <c r="S50" i="8"/>
  <c r="S30" i="8"/>
  <c r="S45" i="8"/>
  <c r="S43" i="8"/>
  <c r="S31" i="8"/>
  <c r="S17" i="8"/>
  <c r="S28" i="8"/>
  <c r="S6" i="8"/>
  <c r="S25" i="8"/>
  <c r="S15" i="8"/>
  <c r="S34" i="8"/>
  <c r="S10" i="8"/>
  <c r="S23" i="8"/>
  <c r="S12" i="8"/>
  <c r="S7" i="8"/>
  <c r="S32" i="8"/>
  <c r="S9" i="8"/>
  <c r="S47" i="8"/>
  <c r="S13" i="8"/>
  <c r="S51" i="8"/>
  <c r="S19" i="8"/>
  <c r="S26" i="8"/>
  <c r="S49" i="8"/>
  <c r="S14" i="8"/>
  <c r="S24" i="8"/>
  <c r="S39" i="8"/>
  <c r="S5" i="8"/>
  <c r="S33" i="8"/>
  <c r="S27" i="8"/>
  <c r="S48" i="8"/>
  <c r="S18" i="8"/>
  <c r="S35" i="8"/>
  <c r="S16" i="8"/>
  <c r="S40" i="8"/>
  <c r="S20" i="8"/>
  <c r="S46" i="8"/>
  <c r="S44" i="8"/>
  <c r="S42" i="8"/>
  <c r="V29" i="8"/>
  <c r="U29" i="29" s="1"/>
  <c r="U81" i="29" s="1"/>
  <c r="V9" i="8"/>
  <c r="U9" i="29" s="1"/>
  <c r="U61" i="29" s="1"/>
  <c r="V50" i="8"/>
  <c r="U50" i="29" s="1"/>
  <c r="U102" i="29" s="1"/>
  <c r="U44" i="13"/>
  <c r="M9" i="8"/>
  <c r="M9" i="29" s="1"/>
  <c r="M61" i="29" s="1"/>
  <c r="M47" i="8"/>
  <c r="M47" i="29" s="1"/>
  <c r="M99" i="29" s="1"/>
  <c r="V40" i="8"/>
  <c r="U40" i="29" s="1"/>
  <c r="U92" i="29" s="1"/>
  <c r="M6" i="8"/>
  <c r="M6" i="29" s="1"/>
  <c r="M58" i="29" s="1"/>
  <c r="F46" i="5"/>
  <c r="Q47" i="13"/>
  <c r="Q47" i="12"/>
  <c r="Q47" i="11"/>
  <c r="Q47" i="10"/>
  <c r="M50" i="8"/>
  <c r="M50" i="29" s="1"/>
  <c r="M102" i="29" s="1"/>
  <c r="R44" i="8"/>
  <c r="R44" i="29" s="1"/>
  <c r="R96" i="29" s="1"/>
  <c r="R50" i="8"/>
  <c r="R50" i="29" s="1"/>
  <c r="R102" i="29" s="1"/>
  <c r="R30" i="8"/>
  <c r="R30" i="29" s="1"/>
  <c r="R82" i="29" s="1"/>
  <c r="R29" i="8"/>
  <c r="R27" i="8"/>
  <c r="R48" i="8"/>
  <c r="R48" i="29" s="1"/>
  <c r="R100" i="29" s="1"/>
  <c r="R20" i="8"/>
  <c r="R20" i="29" s="1"/>
  <c r="R72" i="29" s="1"/>
  <c r="R37" i="8"/>
  <c r="R37" i="29" s="1"/>
  <c r="R89" i="29" s="1"/>
  <c r="R22" i="8"/>
  <c r="R15" i="8"/>
  <c r="R15" i="29" s="1"/>
  <c r="R67" i="29" s="1"/>
  <c r="R34" i="8"/>
  <c r="R34" i="29" s="1"/>
  <c r="R86" i="29" s="1"/>
  <c r="R10" i="8"/>
  <c r="R10" i="29" s="1"/>
  <c r="R62" i="29" s="1"/>
  <c r="R23" i="8"/>
  <c r="R36" i="8"/>
  <c r="R36" i="29" s="1"/>
  <c r="R88" i="29" s="1"/>
  <c r="R21" i="8"/>
  <c r="R12" i="8"/>
  <c r="R12" i="29" s="1"/>
  <c r="R64" i="29" s="1"/>
  <c r="R7" i="8"/>
  <c r="R7" i="29" s="1"/>
  <c r="R59" i="29" s="1"/>
  <c r="R32" i="8"/>
  <c r="R32" i="29" s="1"/>
  <c r="R84" i="29" s="1"/>
  <c r="R41" i="8"/>
  <c r="R41" i="29" s="1"/>
  <c r="R93" i="29" s="1"/>
  <c r="R11" i="8"/>
  <c r="R11" i="29" s="1"/>
  <c r="R63" i="29" s="1"/>
  <c r="R18" i="8"/>
  <c r="R18" i="29" s="1"/>
  <c r="R70" i="29" s="1"/>
  <c r="R16" i="8"/>
  <c r="R16" i="29" s="1"/>
  <c r="R68" i="29" s="1"/>
  <c r="R9" i="8"/>
  <c r="R9" i="29" s="1"/>
  <c r="R61" i="29" s="1"/>
  <c r="R45" i="8"/>
  <c r="R45" i="29" s="1"/>
  <c r="R97" i="29" s="1"/>
  <c r="R43" i="8"/>
  <c r="R43" i="29" s="1"/>
  <c r="R95" i="29" s="1"/>
  <c r="R31" i="8"/>
  <c r="R31" i="29" s="1"/>
  <c r="R83" i="29" s="1"/>
  <c r="R17" i="8"/>
  <c r="R17" i="29" s="1"/>
  <c r="R69" i="29" s="1"/>
  <c r="R28" i="8"/>
  <c r="R6" i="8"/>
  <c r="R6" i="29" s="1"/>
  <c r="R58" i="29" s="1"/>
  <c r="R25" i="8"/>
  <c r="R25" i="29" s="1"/>
  <c r="R77" i="29" s="1"/>
  <c r="R47" i="8"/>
  <c r="R47" i="29" s="1"/>
  <c r="R99" i="29" s="1"/>
  <c r="R46" i="8"/>
  <c r="R46" i="29" s="1"/>
  <c r="R98" i="29" s="1"/>
  <c r="R33" i="8"/>
  <c r="R33" i="29" s="1"/>
  <c r="R85" i="29" s="1"/>
  <c r="R35" i="8"/>
  <c r="R35" i="29" s="1"/>
  <c r="R87" i="29" s="1"/>
  <c r="R40" i="8"/>
  <c r="R40" i="29" s="1"/>
  <c r="R92" i="29" s="1"/>
  <c r="R51" i="8"/>
  <c r="R51" i="29" s="1"/>
  <c r="R103" i="29" s="1"/>
  <c r="R19" i="8"/>
  <c r="R19" i="29" s="1"/>
  <c r="R71" i="29" s="1"/>
  <c r="R26" i="8"/>
  <c r="R8" i="8"/>
  <c r="R8" i="29" s="1"/>
  <c r="R60" i="29" s="1"/>
  <c r="R49" i="8"/>
  <c r="R49" i="29" s="1"/>
  <c r="R101" i="29" s="1"/>
  <c r="R14" i="8"/>
  <c r="R14" i="29" s="1"/>
  <c r="R66" i="29" s="1"/>
  <c r="R24" i="8"/>
  <c r="R13" i="8"/>
  <c r="R13" i="29" s="1"/>
  <c r="R65" i="29" s="1"/>
  <c r="R42" i="8"/>
  <c r="R42" i="29" s="1"/>
  <c r="R94" i="29" s="1"/>
  <c r="R38" i="8"/>
  <c r="R38" i="29" s="1"/>
  <c r="R90" i="29" s="1"/>
  <c r="R39" i="8"/>
  <c r="R39" i="29" s="1"/>
  <c r="R91" i="29" s="1"/>
  <c r="R5" i="8"/>
  <c r="R5" i="29" s="1"/>
  <c r="R57" i="29" s="1"/>
  <c r="M20" i="8"/>
  <c r="M20" i="29" s="1"/>
  <c r="M72" i="29" s="1"/>
  <c r="M29" i="8"/>
  <c r="M29" i="29" s="1"/>
  <c r="M81" i="29" s="1"/>
  <c r="M23" i="8"/>
  <c r="M23" i="29" s="1"/>
  <c r="M75" i="29" s="1"/>
  <c r="L49" i="10"/>
  <c r="V51" i="8"/>
  <c r="U51" i="29" s="1"/>
  <c r="U103" i="29" s="1"/>
  <c r="V18" i="8"/>
  <c r="U18" i="29" s="1"/>
  <c r="U70" i="29" s="1"/>
  <c r="P53" i="8"/>
  <c r="V49" i="8"/>
  <c r="U49" i="29" s="1"/>
  <c r="U101" i="29" s="1"/>
  <c r="V12" i="8"/>
  <c r="U12" i="29" s="1"/>
  <c r="U64" i="29" s="1"/>
  <c r="M24" i="8"/>
  <c r="M24" i="29" s="1"/>
  <c r="M76" i="29" s="1"/>
  <c r="AM56" i="6"/>
  <c r="AM54" i="9"/>
  <c r="AM54" i="7"/>
  <c r="AM54" i="8" s="1"/>
  <c r="T57" i="6"/>
  <c r="T55" i="9"/>
  <c r="T55" i="8"/>
  <c r="T55" i="7"/>
  <c r="O44" i="13"/>
  <c r="M28" i="8"/>
  <c r="M28" i="29" s="1"/>
  <c r="M80" i="29" s="1"/>
  <c r="W53" i="8"/>
  <c r="V20" i="8"/>
  <c r="U20" i="29" s="1"/>
  <c r="U72" i="29" s="1"/>
  <c r="M37" i="8"/>
  <c r="M37" i="29" s="1"/>
  <c r="M89" i="29" s="1"/>
  <c r="M15" i="8"/>
  <c r="M15" i="29" s="1"/>
  <c r="M67" i="29" s="1"/>
  <c r="U44" i="12"/>
  <c r="L53" i="8"/>
  <c r="V35" i="8"/>
  <c r="U35" i="29" s="1"/>
  <c r="U87" i="29" s="1"/>
  <c r="M36" i="8"/>
  <c r="M36" i="29" s="1"/>
  <c r="M88" i="29" s="1"/>
  <c r="Q35" i="30" l="1"/>
  <c r="Q78" i="30" s="1"/>
  <c r="S35" i="12"/>
  <c r="Q29" i="30"/>
  <c r="Q72" i="30" s="1"/>
  <c r="S29" i="12"/>
  <c r="V16" i="12"/>
  <c r="V16" i="13"/>
  <c r="W16" i="13" s="1"/>
  <c r="W16" i="11"/>
  <c r="W26" i="11"/>
  <c r="V26" i="12"/>
  <c r="V26" i="13"/>
  <c r="W26" i="13" s="1"/>
  <c r="W40" i="11"/>
  <c r="V40" i="12"/>
  <c r="W40" i="12" s="1"/>
  <c r="V40" i="13"/>
  <c r="V6" i="13"/>
  <c r="W6" i="13" s="1"/>
  <c r="W6" i="11"/>
  <c r="V6" i="12"/>
  <c r="V18" i="13"/>
  <c r="W18" i="13" s="1"/>
  <c r="W18" i="11"/>
  <c r="V18" i="12"/>
  <c r="W18" i="12" s="1"/>
  <c r="Q25" i="30"/>
  <c r="Q68" i="30" s="1"/>
  <c r="S25" i="12"/>
  <c r="Q42" i="30"/>
  <c r="Q85" i="30" s="1"/>
  <c r="S42" i="12"/>
  <c r="Q20" i="30"/>
  <c r="Q63" i="30" s="1"/>
  <c r="S20" i="12"/>
  <c r="M40" i="12"/>
  <c r="M40" i="13"/>
  <c r="M40" i="30"/>
  <c r="M83" i="30" s="1"/>
  <c r="M41" i="12"/>
  <c r="M41" i="30" s="1"/>
  <c r="M84" i="30" s="1"/>
  <c r="M41" i="13"/>
  <c r="M18" i="12"/>
  <c r="M18" i="13"/>
  <c r="M20" i="12"/>
  <c r="M20" i="13"/>
  <c r="M25" i="12"/>
  <c r="M25" i="13"/>
  <c r="M25" i="30" s="1"/>
  <c r="M68" i="30" s="1"/>
  <c r="S16" i="12"/>
  <c r="Q16" i="30"/>
  <c r="Q59" i="30" s="1"/>
  <c r="P12" i="12"/>
  <c r="P12" i="30" s="1"/>
  <c r="P55" i="30" s="1"/>
  <c r="P12" i="13"/>
  <c r="P31" i="12"/>
  <c r="P31" i="30" s="1"/>
  <c r="P74" i="30" s="1"/>
  <c r="P31" i="13"/>
  <c r="P20" i="12"/>
  <c r="P20" i="30" s="1"/>
  <c r="P63" i="30" s="1"/>
  <c r="P20" i="13"/>
  <c r="P39" i="12"/>
  <c r="P39" i="30" s="1"/>
  <c r="P82" i="30" s="1"/>
  <c r="P39" i="13"/>
  <c r="P19" i="12"/>
  <c r="P19" i="30" s="1"/>
  <c r="P62" i="30" s="1"/>
  <c r="P19" i="13"/>
  <c r="V12" i="13"/>
  <c r="W12" i="13" s="1"/>
  <c r="W12" i="11"/>
  <c r="V12" i="12"/>
  <c r="V21" i="12"/>
  <c r="V21" i="13"/>
  <c r="W21" i="13" s="1"/>
  <c r="W21" i="11"/>
  <c r="V39" i="12"/>
  <c r="V39" i="13"/>
  <c r="W39" i="13" s="1"/>
  <c r="W39" i="11"/>
  <c r="V33" i="12"/>
  <c r="V33" i="13"/>
  <c r="W33" i="13" s="1"/>
  <c r="W33" i="11"/>
  <c r="V10" i="12"/>
  <c r="V10" i="13"/>
  <c r="W10" i="13" s="1"/>
  <c r="W10" i="11"/>
  <c r="Q32" i="30"/>
  <c r="Q75" i="30" s="1"/>
  <c r="S32" i="12"/>
  <c r="Q26" i="30"/>
  <c r="Q69" i="30" s="1"/>
  <c r="S26" i="12"/>
  <c r="M13" i="12"/>
  <c r="M13" i="30" s="1"/>
  <c r="M56" i="30" s="1"/>
  <c r="M13" i="13"/>
  <c r="M10" i="12"/>
  <c r="M10" i="30" s="1"/>
  <c r="M53" i="30" s="1"/>
  <c r="M10" i="13"/>
  <c r="M37" i="12"/>
  <c r="M37" i="13"/>
  <c r="M37" i="30"/>
  <c r="M80" i="30" s="1"/>
  <c r="M7" i="13"/>
  <c r="M7" i="12"/>
  <c r="M7" i="30" s="1"/>
  <c r="M50" i="30" s="1"/>
  <c r="M11" i="12"/>
  <c r="M11" i="13"/>
  <c r="Q38" i="30"/>
  <c r="Q81" i="30" s="1"/>
  <c r="S38" i="12"/>
  <c r="Q33" i="30"/>
  <c r="Q76" i="30" s="1"/>
  <c r="S33" i="12"/>
  <c r="Q18" i="30"/>
  <c r="Q61" i="30" s="1"/>
  <c r="S18" i="12"/>
  <c r="Q40" i="30"/>
  <c r="Q83" i="30" s="1"/>
  <c r="S40" i="12"/>
  <c r="Q7" i="30"/>
  <c r="Q50" i="30" s="1"/>
  <c r="S7" i="12"/>
  <c r="P30" i="12"/>
  <c r="P30" i="13"/>
  <c r="P33" i="12"/>
  <c r="P33" i="30" s="1"/>
  <c r="P76" i="30" s="1"/>
  <c r="P33" i="13"/>
  <c r="P35" i="12"/>
  <c r="P35" i="13"/>
  <c r="P23" i="12"/>
  <c r="P23" i="30" s="1"/>
  <c r="P66" i="30" s="1"/>
  <c r="P23" i="13"/>
  <c r="P41" i="12"/>
  <c r="P41" i="13"/>
  <c r="S5" i="13"/>
  <c r="S44" i="13" s="1"/>
  <c r="R44" i="13"/>
  <c r="V42" i="12"/>
  <c r="V42" i="13"/>
  <c r="W42" i="13" s="1"/>
  <c r="W42" i="11"/>
  <c r="V7" i="13"/>
  <c r="W7" i="13" s="1"/>
  <c r="W7" i="11"/>
  <c r="V7" i="12"/>
  <c r="W7" i="12" s="1"/>
  <c r="V14" i="12"/>
  <c r="V14" i="13"/>
  <c r="W14" i="13" s="1"/>
  <c r="W14" i="11"/>
  <c r="V15" i="12"/>
  <c r="W15" i="11"/>
  <c r="V15" i="13"/>
  <c r="W15" i="13" s="1"/>
  <c r="Q24" i="30"/>
  <c r="Q67" i="30" s="1"/>
  <c r="S24" i="12"/>
  <c r="M42" i="12"/>
  <c r="M42" i="30" s="1"/>
  <c r="M85" i="30" s="1"/>
  <c r="M42" i="13"/>
  <c r="M17" i="12"/>
  <c r="M17" i="30" s="1"/>
  <c r="M60" i="30" s="1"/>
  <c r="M17" i="13"/>
  <c r="M12" i="12"/>
  <c r="M12" i="13"/>
  <c r="M27" i="13"/>
  <c r="M27" i="12"/>
  <c r="M27" i="30" s="1"/>
  <c r="M70" i="30" s="1"/>
  <c r="M28" i="12"/>
  <c r="M28" i="13"/>
  <c r="Q13" i="30"/>
  <c r="Q56" i="30" s="1"/>
  <c r="S13" i="12"/>
  <c r="Q11" i="30"/>
  <c r="Q54" i="30" s="1"/>
  <c r="S11" i="12"/>
  <c r="P11" i="12"/>
  <c r="P11" i="13"/>
  <c r="P27" i="12"/>
  <c r="P27" i="13"/>
  <c r="P29" i="12"/>
  <c r="P29" i="30" s="1"/>
  <c r="P72" i="30" s="1"/>
  <c r="P29" i="13"/>
  <c r="P8" i="12"/>
  <c r="P8" i="13"/>
  <c r="P24" i="13"/>
  <c r="P24" i="12"/>
  <c r="P24" i="30" s="1"/>
  <c r="P67" i="30" s="1"/>
  <c r="Q6" i="30"/>
  <c r="Q49" i="30" s="1"/>
  <c r="S6" i="12"/>
  <c r="W36" i="11"/>
  <c r="V36" i="12"/>
  <c r="V36" i="13"/>
  <c r="W36" i="13" s="1"/>
  <c r="W41" i="11"/>
  <c r="V41" i="12"/>
  <c r="V41" i="13"/>
  <c r="W41" i="13" s="1"/>
  <c r="W38" i="11"/>
  <c r="V38" i="12"/>
  <c r="V38" i="13"/>
  <c r="W38" i="13" s="1"/>
  <c r="W28" i="11"/>
  <c r="V28" i="12"/>
  <c r="V28" i="13"/>
  <c r="W28" i="13" s="1"/>
  <c r="S28" i="12"/>
  <c r="Q28" i="30"/>
  <c r="Q71" i="30" s="1"/>
  <c r="Q36" i="30"/>
  <c r="Q79" i="30" s="1"/>
  <c r="S36" i="12"/>
  <c r="Q8" i="30"/>
  <c r="Q51" i="30" s="1"/>
  <c r="S8" i="12"/>
  <c r="Q37" i="30"/>
  <c r="Q80" i="30" s="1"/>
  <c r="S37" i="12"/>
  <c r="M26" i="12"/>
  <c r="M26" i="13"/>
  <c r="M15" i="12"/>
  <c r="M15" i="13"/>
  <c r="M22" i="13"/>
  <c r="M22" i="12"/>
  <c r="M29" i="12"/>
  <c r="M29" i="13"/>
  <c r="M21" i="12"/>
  <c r="M21" i="13"/>
  <c r="Q31" i="30"/>
  <c r="Q74" i="30" s="1"/>
  <c r="S31" i="12"/>
  <c r="S27" i="12"/>
  <c r="Q27" i="30"/>
  <c r="Q70" i="30" s="1"/>
  <c r="P44" i="11"/>
  <c r="P5" i="12"/>
  <c r="P5" i="13"/>
  <c r="P15" i="12"/>
  <c r="P15" i="30" s="1"/>
  <c r="P58" i="30" s="1"/>
  <c r="P15" i="13"/>
  <c r="P32" i="13"/>
  <c r="P32" i="12"/>
  <c r="P32" i="30" s="1"/>
  <c r="P75" i="30" s="1"/>
  <c r="P28" i="12"/>
  <c r="P28" i="13"/>
  <c r="P9" i="12"/>
  <c r="P9" i="13"/>
  <c r="S44" i="11"/>
  <c r="V20" i="12"/>
  <c r="V20" i="13"/>
  <c r="W20" i="13" s="1"/>
  <c r="W20" i="11"/>
  <c r="V37" i="12"/>
  <c r="V37" i="13"/>
  <c r="W37" i="13" s="1"/>
  <c r="W37" i="11"/>
  <c r="V31" i="13"/>
  <c r="W31" i="13" s="1"/>
  <c r="W31" i="11"/>
  <c r="V31" i="12"/>
  <c r="W11" i="11"/>
  <c r="V11" i="12"/>
  <c r="V11" i="13"/>
  <c r="W11" i="13" s="1"/>
  <c r="V8" i="13"/>
  <c r="W8" i="13" s="1"/>
  <c r="W8" i="11"/>
  <c r="V8" i="12"/>
  <c r="W8" i="12" s="1"/>
  <c r="M8" i="12"/>
  <c r="M8" i="13"/>
  <c r="M14" i="12"/>
  <c r="M14" i="30" s="1"/>
  <c r="M57" i="30" s="1"/>
  <c r="M14" i="13"/>
  <c r="M44" i="11"/>
  <c r="M5" i="12"/>
  <c r="M5" i="13"/>
  <c r="M9" i="12"/>
  <c r="M9" i="30" s="1"/>
  <c r="M52" i="30" s="1"/>
  <c r="M9" i="13"/>
  <c r="M36" i="12"/>
  <c r="M36" i="13"/>
  <c r="M36" i="30"/>
  <c r="M79" i="30" s="1"/>
  <c r="Q14" i="30"/>
  <c r="Q57" i="30" s="1"/>
  <c r="S14" i="12"/>
  <c r="Q34" i="30"/>
  <c r="Q77" i="30" s="1"/>
  <c r="S34" i="12"/>
  <c r="P22" i="12"/>
  <c r="P22" i="13"/>
  <c r="P25" i="12"/>
  <c r="P25" i="13"/>
  <c r="P25" i="30" s="1"/>
  <c r="P68" i="30" s="1"/>
  <c r="P17" i="12"/>
  <c r="P17" i="30" s="1"/>
  <c r="P60" i="30" s="1"/>
  <c r="P17" i="13"/>
  <c r="P21" i="13"/>
  <c r="P21" i="12"/>
  <c r="P21" i="30" s="1"/>
  <c r="P64" i="30" s="1"/>
  <c r="P16" i="12"/>
  <c r="P16" i="30" s="1"/>
  <c r="P59" i="30" s="1"/>
  <c r="P16" i="13"/>
  <c r="H7" i="32"/>
  <c r="H13" i="32" s="1"/>
  <c r="Q5" i="30"/>
  <c r="Q48" i="30" s="1"/>
  <c r="S5" i="12"/>
  <c r="R44" i="12"/>
  <c r="W32" i="11"/>
  <c r="V32" i="12"/>
  <c r="V32" i="13"/>
  <c r="W32" i="13" s="1"/>
  <c r="V5" i="13"/>
  <c r="V44" i="11"/>
  <c r="W5" i="11"/>
  <c r="V5" i="12"/>
  <c r="W25" i="11"/>
  <c r="V25" i="12"/>
  <c r="V25" i="13"/>
  <c r="W25" i="13" s="1"/>
  <c r="V27" i="12"/>
  <c r="V27" i="13"/>
  <c r="W27" i="13" s="1"/>
  <c r="W27" i="11"/>
  <c r="W29" i="11"/>
  <c r="V29" i="12"/>
  <c r="V29" i="13"/>
  <c r="W29" i="13" s="1"/>
  <c r="Q17" i="30"/>
  <c r="Q60" i="30" s="1"/>
  <c r="S17" i="12"/>
  <c r="Q30" i="30"/>
  <c r="Q73" i="30" s="1"/>
  <c r="S30" i="12"/>
  <c r="Q12" i="30"/>
  <c r="Q55" i="30" s="1"/>
  <c r="S12" i="12"/>
  <c r="M33" i="12"/>
  <c r="M33" i="30" s="1"/>
  <c r="M76" i="30" s="1"/>
  <c r="M33" i="13"/>
  <c r="M24" i="12"/>
  <c r="M24" i="13"/>
  <c r="M19" i="12"/>
  <c r="M19" i="30" s="1"/>
  <c r="M62" i="30" s="1"/>
  <c r="M19" i="13"/>
  <c r="M30" i="12"/>
  <c r="M30" i="30" s="1"/>
  <c r="M73" i="30" s="1"/>
  <c r="M30" i="13"/>
  <c r="M6" i="12"/>
  <c r="M6" i="30" s="1"/>
  <c r="M49" i="30" s="1"/>
  <c r="M6" i="13"/>
  <c r="S15" i="12"/>
  <c r="Q15" i="30"/>
  <c r="Q58" i="30" s="1"/>
  <c r="Q39" i="30"/>
  <c r="Q82" i="30" s="1"/>
  <c r="S39" i="12"/>
  <c r="P40" i="12"/>
  <c r="P40" i="13"/>
  <c r="P14" i="12"/>
  <c r="P14" i="30" s="1"/>
  <c r="P57" i="30" s="1"/>
  <c r="P14" i="13"/>
  <c r="P6" i="13"/>
  <c r="P6" i="12"/>
  <c r="P6" i="30" s="1"/>
  <c r="P49" i="30" s="1"/>
  <c r="P34" i="12"/>
  <c r="P34" i="13"/>
  <c r="Q19" i="30"/>
  <c r="Q62" i="30" s="1"/>
  <c r="S19" i="12"/>
  <c r="W30" i="11"/>
  <c r="V30" i="12"/>
  <c r="V30" i="13"/>
  <c r="W30" i="13" s="1"/>
  <c r="V13" i="13"/>
  <c r="W13" i="13" s="1"/>
  <c r="W13" i="11"/>
  <c r="V13" i="12"/>
  <c r="W35" i="11"/>
  <c r="V35" i="12"/>
  <c r="V35" i="13"/>
  <c r="W35" i="13" s="1"/>
  <c r="V34" i="12"/>
  <c r="V34" i="13"/>
  <c r="W34" i="13" s="1"/>
  <c r="W34" i="11"/>
  <c r="W19" i="11"/>
  <c r="V19" i="12"/>
  <c r="V19" i="13"/>
  <c r="W19" i="13" s="1"/>
  <c r="Q9" i="30"/>
  <c r="Q52" i="30" s="1"/>
  <c r="S9" i="12"/>
  <c r="M32" i="12"/>
  <c r="M32" i="13"/>
  <c r="M32" i="30"/>
  <c r="M75" i="30" s="1"/>
  <c r="M16" i="12"/>
  <c r="M16" i="13"/>
  <c r="M16" i="30" s="1"/>
  <c r="M59" i="30" s="1"/>
  <c r="M31" i="12"/>
  <c r="M31" i="30" s="1"/>
  <c r="M74" i="30" s="1"/>
  <c r="M31" i="13"/>
  <c r="M23" i="12"/>
  <c r="M23" i="30" s="1"/>
  <c r="M66" i="30" s="1"/>
  <c r="M23" i="13"/>
  <c r="Q21" i="30"/>
  <c r="Q64" i="30" s="1"/>
  <c r="S21" i="12"/>
  <c r="Q23" i="30"/>
  <c r="Q66" i="30" s="1"/>
  <c r="S23" i="12"/>
  <c r="P36" i="13"/>
  <c r="P36" i="12"/>
  <c r="P36" i="30" s="1"/>
  <c r="P79" i="30" s="1"/>
  <c r="P42" i="12"/>
  <c r="P42" i="30" s="1"/>
  <c r="P85" i="30" s="1"/>
  <c r="P42" i="13"/>
  <c r="P26" i="12"/>
  <c r="P26" i="13"/>
  <c r="P26" i="30"/>
  <c r="P69" i="30" s="1"/>
  <c r="P7" i="12"/>
  <c r="P7" i="30" s="1"/>
  <c r="P50" i="30" s="1"/>
  <c r="P7" i="13"/>
  <c r="V17" i="12"/>
  <c r="V17" i="13"/>
  <c r="W17" i="13" s="1"/>
  <c r="W17" i="11"/>
  <c r="V24" i="12"/>
  <c r="W24" i="11"/>
  <c r="V24" i="13"/>
  <c r="W24" i="13" s="1"/>
  <c r="V9" i="12"/>
  <c r="V9" i="13"/>
  <c r="W9" i="13" s="1"/>
  <c r="W9" i="11"/>
  <c r="V22" i="12"/>
  <c r="W22" i="11"/>
  <c r="V22" i="13"/>
  <c r="W22" i="13" s="1"/>
  <c r="V23" i="13"/>
  <c r="W23" i="13" s="1"/>
  <c r="W23" i="11"/>
  <c r="V23" i="12"/>
  <c r="M39" i="12"/>
  <c r="M39" i="13"/>
  <c r="M39" i="30"/>
  <c r="M82" i="30" s="1"/>
  <c r="M35" i="12"/>
  <c r="M35" i="13"/>
  <c r="M35" i="30" s="1"/>
  <c r="M78" i="30" s="1"/>
  <c r="M34" i="12"/>
  <c r="M34" i="30" s="1"/>
  <c r="M77" i="30" s="1"/>
  <c r="M34" i="13"/>
  <c r="M38" i="12"/>
  <c r="M38" i="13"/>
  <c r="Q22" i="30"/>
  <c r="Q65" i="30" s="1"/>
  <c r="S22" i="12"/>
  <c r="Q10" i="30"/>
  <c r="Q53" i="30" s="1"/>
  <c r="S10" i="12"/>
  <c r="Q41" i="30"/>
  <c r="Q84" i="30" s="1"/>
  <c r="S41" i="12"/>
  <c r="P38" i="12"/>
  <c r="P38" i="13"/>
  <c r="P13" i="12"/>
  <c r="P13" i="13"/>
  <c r="P18" i="13"/>
  <c r="P18" i="12"/>
  <c r="P18" i="30" s="1"/>
  <c r="P61" i="30" s="1"/>
  <c r="P37" i="12"/>
  <c r="P37" i="30" s="1"/>
  <c r="P80" i="30" s="1"/>
  <c r="P37" i="13"/>
  <c r="P10" i="12"/>
  <c r="P10" i="13"/>
  <c r="C9" i="31"/>
  <c r="K9" i="31"/>
  <c r="N7" i="31"/>
  <c r="N13" i="31" s="1"/>
  <c r="I14" i="32"/>
  <c r="I15" i="32"/>
  <c r="AD53" i="8"/>
  <c r="B14" i="31"/>
  <c r="B15" i="31"/>
  <c r="G14" i="31"/>
  <c r="G15" i="31"/>
  <c r="AB30" i="8"/>
  <c r="AB25" i="8"/>
  <c r="AB27" i="8"/>
  <c r="H14" i="32"/>
  <c r="H15" i="32"/>
  <c r="E14" i="31"/>
  <c r="E15" i="31"/>
  <c r="H9" i="31"/>
  <c r="C7" i="31"/>
  <c r="C13" i="31" s="1"/>
  <c r="C11" i="31"/>
  <c r="N11" i="31"/>
  <c r="N9" i="31"/>
  <c r="U15" i="31"/>
  <c r="U14" i="31"/>
  <c r="AB11" i="8"/>
  <c r="L15" i="31"/>
  <c r="L14" i="31"/>
  <c r="M14" i="31"/>
  <c r="M15" i="31"/>
  <c r="L15" i="32"/>
  <c r="L14" i="32"/>
  <c r="E15" i="32"/>
  <c r="E14" i="32"/>
  <c r="K7" i="31"/>
  <c r="K13" i="31" s="1"/>
  <c r="K11" i="31"/>
  <c r="D14" i="32"/>
  <c r="D15" i="32"/>
  <c r="H11" i="31"/>
  <c r="H7" i="31"/>
  <c r="H13" i="31" s="1"/>
  <c r="F15" i="31"/>
  <c r="F14" i="31"/>
  <c r="J14" i="31"/>
  <c r="J15" i="31"/>
  <c r="AB53" i="9"/>
  <c r="Q15" i="31"/>
  <c r="Q14" i="31"/>
  <c r="T14" i="31"/>
  <c r="T15" i="31"/>
  <c r="AB50" i="8"/>
  <c r="AB42" i="8"/>
  <c r="AB6" i="8"/>
  <c r="AB23" i="8"/>
  <c r="AB10" i="8"/>
  <c r="AB51" i="8"/>
  <c r="AB36" i="8"/>
  <c r="AB35" i="8"/>
  <c r="AB9" i="8"/>
  <c r="AB39" i="8"/>
  <c r="AB45" i="8"/>
  <c r="AB46" i="8"/>
  <c r="AB12" i="8"/>
  <c r="AB29" i="8"/>
  <c r="AB38" i="8"/>
  <c r="AB7" i="8"/>
  <c r="AB40" i="8"/>
  <c r="AB20" i="8"/>
  <c r="AB49" i="8"/>
  <c r="AB16" i="8"/>
  <c r="AB28" i="8"/>
  <c r="AB44" i="8"/>
  <c r="AB8" i="8"/>
  <c r="AB22" i="8"/>
  <c r="AB47" i="8"/>
  <c r="AB32" i="8"/>
  <c r="AB17" i="8"/>
  <c r="S53" i="8"/>
  <c r="AB18" i="8"/>
  <c r="AB48" i="8"/>
  <c r="AA44" i="12"/>
  <c r="L11" i="11"/>
  <c r="L9" i="11"/>
  <c r="L7" i="11"/>
  <c r="L5" i="11"/>
  <c r="L16" i="11"/>
  <c r="L10" i="11"/>
  <c r="L8" i="11"/>
  <c r="L6" i="11"/>
  <c r="L32" i="11"/>
  <c r="L19" i="11"/>
  <c r="L21" i="11"/>
  <c r="L40" i="11"/>
  <c r="L35" i="11"/>
  <c r="L37" i="11"/>
  <c r="L42" i="11"/>
  <c r="L14" i="11"/>
  <c r="L17" i="11"/>
  <c r="L23" i="11"/>
  <c r="L25" i="11"/>
  <c r="L13" i="11"/>
  <c r="L38" i="11"/>
  <c r="L31" i="11"/>
  <c r="L33" i="11"/>
  <c r="L20" i="11"/>
  <c r="L22" i="11"/>
  <c r="L39" i="11"/>
  <c r="L15" i="11"/>
  <c r="L41" i="11"/>
  <c r="L18" i="11"/>
  <c r="L28" i="11"/>
  <c r="L30" i="11"/>
  <c r="L12" i="11"/>
  <c r="L27" i="11"/>
  <c r="L29" i="11"/>
  <c r="L26" i="11"/>
  <c r="L24" i="11"/>
  <c r="L34" i="11"/>
  <c r="L36" i="11"/>
  <c r="AB5" i="8"/>
  <c r="V53" i="8"/>
  <c r="AB43" i="8"/>
  <c r="AE55" i="9"/>
  <c r="AE55" i="8"/>
  <c r="AO54" i="8" s="1"/>
  <c r="AE55" i="7"/>
  <c r="E43" i="5"/>
  <c r="X46" i="13"/>
  <c r="X46" i="12"/>
  <c r="X46" i="11"/>
  <c r="X49" i="11" s="1"/>
  <c r="X46" i="10"/>
  <c r="M53" i="8"/>
  <c r="Y53" i="8"/>
  <c r="AB47" i="12"/>
  <c r="AB47" i="13"/>
  <c r="AB47" i="11"/>
  <c r="AB47" i="10"/>
  <c r="R53" i="8"/>
  <c r="S58" i="8" s="1"/>
  <c r="E23" i="5"/>
  <c r="E29" i="5" s="1"/>
  <c r="AE57" i="6"/>
  <c r="T34" i="30" l="1"/>
  <c r="T77" i="30" s="1"/>
  <c r="W34" i="12"/>
  <c r="T30" i="30"/>
  <c r="T73" i="30" s="1"/>
  <c r="W30" i="12"/>
  <c r="M24" i="30"/>
  <c r="M67" i="30" s="1"/>
  <c r="T25" i="30"/>
  <c r="T68" i="30" s="1"/>
  <c r="W25" i="12"/>
  <c r="M8" i="30"/>
  <c r="M51" i="30" s="1"/>
  <c r="T31" i="30"/>
  <c r="T74" i="30" s="1"/>
  <c r="W31" i="12"/>
  <c r="T20" i="30"/>
  <c r="T63" i="30" s="1"/>
  <c r="W20" i="12"/>
  <c r="M15" i="30"/>
  <c r="M58" i="30" s="1"/>
  <c r="P27" i="30"/>
  <c r="P70" i="30" s="1"/>
  <c r="M28" i="30"/>
  <c r="M71" i="30" s="1"/>
  <c r="T42" i="30"/>
  <c r="T85" i="30" s="1"/>
  <c r="W42" i="12"/>
  <c r="P35" i="30"/>
  <c r="P78" i="30" s="1"/>
  <c r="M11" i="30"/>
  <c r="M54" i="30" s="1"/>
  <c r="M18" i="30"/>
  <c r="M61" i="30" s="1"/>
  <c r="T6" i="30"/>
  <c r="T49" i="30" s="1"/>
  <c r="W6" i="12"/>
  <c r="T23" i="30"/>
  <c r="T66" i="30" s="1"/>
  <c r="W23" i="12"/>
  <c r="T9" i="30"/>
  <c r="T52" i="30" s="1"/>
  <c r="W9" i="12"/>
  <c r="T14" i="30"/>
  <c r="T57" i="30" s="1"/>
  <c r="W14" i="12"/>
  <c r="T10" i="30"/>
  <c r="T53" i="30" s="1"/>
  <c r="W10" i="12"/>
  <c r="T35" i="30"/>
  <c r="T78" i="30" s="1"/>
  <c r="W35" i="12"/>
  <c r="T29" i="30"/>
  <c r="T72" i="30" s="1"/>
  <c r="W29" i="12"/>
  <c r="T5" i="30"/>
  <c r="T48" i="30" s="1"/>
  <c r="W5" i="12"/>
  <c r="V44" i="12"/>
  <c r="S44" i="12"/>
  <c r="M44" i="13"/>
  <c r="T8" i="30"/>
  <c r="T51" i="30" s="1"/>
  <c r="P44" i="13"/>
  <c r="M21" i="30"/>
  <c r="M64" i="30" s="1"/>
  <c r="M26" i="30"/>
  <c r="M69" i="30" s="1"/>
  <c r="T41" i="30"/>
  <c r="T84" i="30" s="1"/>
  <c r="W41" i="12"/>
  <c r="P11" i="30"/>
  <c r="P54" i="30" s="1"/>
  <c r="T21" i="30"/>
  <c r="T64" i="30" s="1"/>
  <c r="W21" i="12"/>
  <c r="G7" i="32"/>
  <c r="G13" i="32" s="1"/>
  <c r="P40" i="30"/>
  <c r="P83" i="30" s="1"/>
  <c r="W44" i="11"/>
  <c r="G9" i="32"/>
  <c r="G11" i="32"/>
  <c r="M5" i="30"/>
  <c r="M48" i="30" s="1"/>
  <c r="M44" i="12"/>
  <c r="P9" i="30"/>
  <c r="P52" i="30" s="1"/>
  <c r="P5" i="30"/>
  <c r="P48" i="30" s="1"/>
  <c r="P44" i="12"/>
  <c r="T12" i="30"/>
  <c r="T55" i="30" s="1"/>
  <c r="W12" i="12"/>
  <c r="T40" i="30"/>
  <c r="T83" i="30" s="1"/>
  <c r="W40" i="13"/>
  <c r="T16" i="30"/>
  <c r="T59" i="30" s="1"/>
  <c r="W16" i="12"/>
  <c r="T24" i="30"/>
  <c r="T67" i="30" s="1"/>
  <c r="W24" i="12"/>
  <c r="T19" i="30"/>
  <c r="T62" i="30" s="1"/>
  <c r="W19" i="12"/>
  <c r="T13" i="30"/>
  <c r="T56" i="30" s="1"/>
  <c r="W13" i="12"/>
  <c r="M29" i="30"/>
  <c r="M72" i="30" s="1"/>
  <c r="T28" i="30"/>
  <c r="T71" i="30" s="1"/>
  <c r="W28" i="12"/>
  <c r="P8" i="30"/>
  <c r="P51" i="30" s="1"/>
  <c r="M12" i="30"/>
  <c r="M55" i="30" s="1"/>
  <c r="T7" i="30"/>
  <c r="T50" i="30" s="1"/>
  <c r="P41" i="30"/>
  <c r="P84" i="30" s="1"/>
  <c r="P30" i="30"/>
  <c r="P73" i="30" s="1"/>
  <c r="T33" i="30"/>
  <c r="T76" i="30" s="1"/>
  <c r="W33" i="12"/>
  <c r="P13" i="30"/>
  <c r="P56" i="30" s="1"/>
  <c r="P34" i="30"/>
  <c r="P77" i="30" s="1"/>
  <c r="W5" i="13"/>
  <c r="W44" i="13" s="1"/>
  <c r="V44" i="13"/>
  <c r="T37" i="30"/>
  <c r="T80" i="30" s="1"/>
  <c r="W37" i="12"/>
  <c r="P28" i="30"/>
  <c r="P71" i="30" s="1"/>
  <c r="M22" i="30"/>
  <c r="M65" i="30" s="1"/>
  <c r="T36" i="30"/>
  <c r="T79" i="30" s="1"/>
  <c r="W36" i="12"/>
  <c r="T18" i="30"/>
  <c r="T61" i="30" s="1"/>
  <c r="T22" i="30"/>
  <c r="T65" i="30" s="1"/>
  <c r="W22" i="12"/>
  <c r="T27" i="30"/>
  <c r="T70" i="30" s="1"/>
  <c r="W27" i="12"/>
  <c r="T11" i="30"/>
  <c r="T54" i="30" s="1"/>
  <c r="W11" i="12"/>
  <c r="T15" i="30"/>
  <c r="T58" i="30" s="1"/>
  <c r="W15" i="12"/>
  <c r="M20" i="30"/>
  <c r="M63" i="30" s="1"/>
  <c r="E47" i="5"/>
  <c r="P10" i="30"/>
  <c r="P53" i="30" s="1"/>
  <c r="P38" i="30"/>
  <c r="P81" i="30" s="1"/>
  <c r="M38" i="30"/>
  <c r="M81" i="30" s="1"/>
  <c r="T17" i="30"/>
  <c r="T60" i="30" s="1"/>
  <c r="W17" i="12"/>
  <c r="T32" i="30"/>
  <c r="T75" i="30" s="1"/>
  <c r="W32" i="12"/>
  <c r="P22" i="30"/>
  <c r="P65" i="30" s="1"/>
  <c r="T38" i="30"/>
  <c r="T81" i="30" s="1"/>
  <c r="W38" i="12"/>
  <c r="T39" i="30"/>
  <c r="T82" i="30" s="1"/>
  <c r="W39" i="12"/>
  <c r="T26" i="30"/>
  <c r="T69" i="30" s="1"/>
  <c r="W26" i="12"/>
  <c r="N14" i="31"/>
  <c r="N15" i="31"/>
  <c r="K14" i="31"/>
  <c r="K15" i="31"/>
  <c r="H15" i="31"/>
  <c r="H14" i="31"/>
  <c r="L34" i="30"/>
  <c r="L77" i="30" s="1"/>
  <c r="C14" i="31"/>
  <c r="C15" i="31"/>
  <c r="AB53" i="8"/>
  <c r="AM57" i="6"/>
  <c r="AM55" i="9"/>
  <c r="AM55" i="8"/>
  <c r="AM55" i="7"/>
  <c r="E46" i="5"/>
  <c r="Y46" i="13"/>
  <c r="Y46" i="12"/>
  <c r="Y46" i="10"/>
  <c r="Y46" i="11"/>
  <c r="Q30" i="11"/>
  <c r="AB30" i="11" s="1"/>
  <c r="L30" i="12"/>
  <c r="Q30" i="12" s="1"/>
  <c r="L30" i="13"/>
  <c r="Q30" i="13" s="1"/>
  <c r="Q33" i="11"/>
  <c r="AB33" i="11" s="1"/>
  <c r="L33" i="12"/>
  <c r="Q33" i="12" s="1"/>
  <c r="L33" i="13"/>
  <c r="Q33" i="13" s="1"/>
  <c r="Q42" i="11"/>
  <c r="AB42" i="11" s="1"/>
  <c r="L42" i="12"/>
  <c r="Q42" i="12" s="1"/>
  <c r="L42" i="13"/>
  <c r="Q42" i="13" s="1"/>
  <c r="Q8" i="11"/>
  <c r="AB8" i="11" s="1"/>
  <c r="L8" i="12"/>
  <c r="Q8" i="12" s="1"/>
  <c r="L8" i="13"/>
  <c r="Q8" i="13" s="1"/>
  <c r="Q36" i="11"/>
  <c r="AB36" i="11" s="1"/>
  <c r="L36" i="12"/>
  <c r="Q36" i="12" s="1"/>
  <c r="L36" i="13"/>
  <c r="Q36" i="13" s="1"/>
  <c r="Q28" i="11"/>
  <c r="AB28" i="11" s="1"/>
  <c r="L28" i="12"/>
  <c r="Q28" i="12" s="1"/>
  <c r="L28" i="13"/>
  <c r="Q28" i="13" s="1"/>
  <c r="Q31" i="11"/>
  <c r="AB31" i="11" s="1"/>
  <c r="L31" i="12"/>
  <c r="Q31" i="12" s="1"/>
  <c r="L31" i="13"/>
  <c r="Q31" i="13" s="1"/>
  <c r="Q37" i="11"/>
  <c r="AB37" i="11" s="1"/>
  <c r="L37" i="12"/>
  <c r="Q37" i="12" s="1"/>
  <c r="L37" i="13"/>
  <c r="Q37" i="13" s="1"/>
  <c r="Q10" i="11"/>
  <c r="AB10" i="11" s="1"/>
  <c r="L10" i="12"/>
  <c r="Q10" i="12" s="1"/>
  <c r="L10" i="13"/>
  <c r="Q10" i="13" s="1"/>
  <c r="Q34" i="11"/>
  <c r="AB34" i="11" s="1"/>
  <c r="L34" i="12"/>
  <c r="Q34" i="12" s="1"/>
  <c r="L34" i="13"/>
  <c r="Q34" i="13" s="1"/>
  <c r="Q18" i="11"/>
  <c r="AB18" i="11" s="1"/>
  <c r="L18" i="12"/>
  <c r="Q18" i="12" s="1"/>
  <c r="L18" i="13"/>
  <c r="Q18" i="13" s="1"/>
  <c r="Q38" i="11"/>
  <c r="AB38" i="11" s="1"/>
  <c r="L38" i="12"/>
  <c r="Q38" i="12" s="1"/>
  <c r="L38" i="13"/>
  <c r="Q38" i="13" s="1"/>
  <c r="Q35" i="11"/>
  <c r="AB35" i="11" s="1"/>
  <c r="L35" i="12"/>
  <c r="Q35" i="12" s="1"/>
  <c r="L35" i="13"/>
  <c r="Q35" i="13" s="1"/>
  <c r="Q16" i="11"/>
  <c r="AB16" i="11" s="1"/>
  <c r="L16" i="12"/>
  <c r="Q16" i="12" s="1"/>
  <c r="L16" i="13"/>
  <c r="Q16" i="13" s="1"/>
  <c r="Q24" i="11"/>
  <c r="AB24" i="11" s="1"/>
  <c r="L24" i="12"/>
  <c r="Q24" i="12" s="1"/>
  <c r="L24" i="13"/>
  <c r="Q24" i="13" s="1"/>
  <c r="Q13" i="11"/>
  <c r="AB13" i="11" s="1"/>
  <c r="L13" i="12"/>
  <c r="Q13" i="12" s="1"/>
  <c r="L13" i="13"/>
  <c r="Q13" i="13" s="1"/>
  <c r="Q40" i="11"/>
  <c r="AB40" i="11" s="1"/>
  <c r="L40" i="12"/>
  <c r="Q40" i="12" s="1"/>
  <c r="L40" i="13"/>
  <c r="Q40" i="13" s="1"/>
  <c r="Q5" i="11"/>
  <c r="L5" i="12"/>
  <c r="L44" i="11"/>
  <c r="L5" i="13"/>
  <c r="Q12" i="11"/>
  <c r="AB12" i="11" s="1"/>
  <c r="L12" i="12"/>
  <c r="Q12" i="12" s="1"/>
  <c r="L12" i="13"/>
  <c r="Q12" i="13" s="1"/>
  <c r="Q20" i="11"/>
  <c r="AB20" i="11" s="1"/>
  <c r="L20" i="12"/>
  <c r="Q20" i="12" s="1"/>
  <c r="L20" i="13"/>
  <c r="Q20" i="13" s="1"/>
  <c r="Q14" i="11"/>
  <c r="AB14" i="11" s="1"/>
  <c r="L14" i="12"/>
  <c r="Q14" i="12" s="1"/>
  <c r="L14" i="13"/>
  <c r="Q14" i="13" s="1"/>
  <c r="Q6" i="11"/>
  <c r="AB6" i="11" s="1"/>
  <c r="L6" i="12"/>
  <c r="Q6" i="12" s="1"/>
  <c r="L6" i="13"/>
  <c r="Q6" i="13" s="1"/>
  <c r="AG57" i="6"/>
  <c r="AG55" i="9"/>
  <c r="AG55" i="8"/>
  <c r="AG55" i="7"/>
  <c r="Q41" i="11"/>
  <c r="AB41" i="11" s="1"/>
  <c r="L41" i="12"/>
  <c r="Q41" i="12" s="1"/>
  <c r="L41" i="13"/>
  <c r="Q41" i="13" s="1"/>
  <c r="Q26" i="11"/>
  <c r="AB26" i="11" s="1"/>
  <c r="L26" i="12"/>
  <c r="Q26" i="12" s="1"/>
  <c r="L26" i="13"/>
  <c r="Q26" i="13" s="1"/>
  <c r="Q15" i="11"/>
  <c r="AB15" i="11" s="1"/>
  <c r="L15" i="12"/>
  <c r="Q15" i="12" s="1"/>
  <c r="L15" i="13"/>
  <c r="Q15" i="13" s="1"/>
  <c r="Q25" i="11"/>
  <c r="AB25" i="11" s="1"/>
  <c r="L25" i="12"/>
  <c r="Q25" i="12" s="1"/>
  <c r="L25" i="13"/>
  <c r="Q25" i="13" s="1"/>
  <c r="Q21" i="11"/>
  <c r="AB21" i="11" s="1"/>
  <c r="L21" i="12"/>
  <c r="Q21" i="12" s="1"/>
  <c r="L21" i="13"/>
  <c r="Q21" i="13" s="1"/>
  <c r="Q7" i="11"/>
  <c r="AB7" i="11" s="1"/>
  <c r="L7" i="12"/>
  <c r="Q7" i="12" s="1"/>
  <c r="L7" i="13"/>
  <c r="Q7" i="13" s="1"/>
  <c r="S51" i="9"/>
  <c r="S51" i="29" s="1"/>
  <c r="S103" i="29" s="1"/>
  <c r="S19" i="9"/>
  <c r="S19" i="29" s="1"/>
  <c r="S71" i="29" s="1"/>
  <c r="S33" i="9"/>
  <c r="S33" i="29" s="1"/>
  <c r="S85" i="29" s="1"/>
  <c r="S14" i="9"/>
  <c r="S14" i="29" s="1"/>
  <c r="S66" i="29" s="1"/>
  <c r="S48" i="9"/>
  <c r="S48" i="29" s="1"/>
  <c r="S100" i="29" s="1"/>
  <c r="S18" i="9"/>
  <c r="S18" i="29" s="1"/>
  <c r="S70" i="29" s="1"/>
  <c r="S13" i="9"/>
  <c r="S13" i="29" s="1"/>
  <c r="S65" i="29" s="1"/>
  <c r="S40" i="9"/>
  <c r="S40" i="29" s="1"/>
  <c r="S92" i="29" s="1"/>
  <c r="S38" i="9"/>
  <c r="S38" i="29" s="1"/>
  <c r="S90" i="29" s="1"/>
  <c r="S46" i="9"/>
  <c r="S46" i="29" s="1"/>
  <c r="S98" i="29" s="1"/>
  <c r="S39" i="9"/>
  <c r="S39" i="29" s="1"/>
  <c r="S91" i="29" s="1"/>
  <c r="S44" i="9"/>
  <c r="S44" i="29" s="1"/>
  <c r="S96" i="29" s="1"/>
  <c r="S8" i="9"/>
  <c r="S8" i="29" s="1"/>
  <c r="S60" i="29" s="1"/>
  <c r="S27" i="9"/>
  <c r="S27" i="29" s="1"/>
  <c r="S79" i="29" s="1"/>
  <c r="S42" i="9"/>
  <c r="S42" i="29" s="1"/>
  <c r="S94" i="29" s="1"/>
  <c r="S35" i="9"/>
  <c r="S35" i="29" s="1"/>
  <c r="S87" i="29" s="1"/>
  <c r="S16" i="9"/>
  <c r="S16" i="29" s="1"/>
  <c r="S68" i="29" s="1"/>
  <c r="S20" i="9"/>
  <c r="S20" i="29" s="1"/>
  <c r="S72" i="29" s="1"/>
  <c r="S29" i="9"/>
  <c r="S29" i="29" s="1"/>
  <c r="S81" i="29" s="1"/>
  <c r="S26" i="9"/>
  <c r="S26" i="29" s="1"/>
  <c r="S78" i="29" s="1"/>
  <c r="S49" i="9"/>
  <c r="S49" i="29" s="1"/>
  <c r="S101" i="29" s="1"/>
  <c r="S50" i="9"/>
  <c r="S50" i="29" s="1"/>
  <c r="S102" i="29" s="1"/>
  <c r="S22" i="9"/>
  <c r="S22" i="29" s="1"/>
  <c r="S74" i="29" s="1"/>
  <c r="S30" i="9"/>
  <c r="S30" i="29" s="1"/>
  <c r="S82" i="29" s="1"/>
  <c r="S21" i="9"/>
  <c r="S21" i="29" s="1"/>
  <c r="S73" i="29" s="1"/>
  <c r="S41" i="9"/>
  <c r="S41" i="29" s="1"/>
  <c r="S93" i="29" s="1"/>
  <c r="S11" i="9"/>
  <c r="S11" i="29" s="1"/>
  <c r="S63" i="29" s="1"/>
  <c r="S25" i="9"/>
  <c r="S25" i="29" s="1"/>
  <c r="S77" i="29" s="1"/>
  <c r="S5" i="9"/>
  <c r="S5" i="29" s="1"/>
  <c r="S57" i="29" s="1"/>
  <c r="S37" i="9"/>
  <c r="S37" i="29" s="1"/>
  <c r="S89" i="29" s="1"/>
  <c r="S15" i="9"/>
  <c r="S15" i="29" s="1"/>
  <c r="S67" i="29" s="1"/>
  <c r="S34" i="9"/>
  <c r="S34" i="29" s="1"/>
  <c r="S86" i="29" s="1"/>
  <c r="S36" i="9"/>
  <c r="S36" i="29" s="1"/>
  <c r="S88" i="29" s="1"/>
  <c r="S45" i="9"/>
  <c r="S45" i="29" s="1"/>
  <c r="S97" i="29" s="1"/>
  <c r="S43" i="9"/>
  <c r="S43" i="29" s="1"/>
  <c r="S95" i="29" s="1"/>
  <c r="S12" i="9"/>
  <c r="S12" i="29" s="1"/>
  <c r="S64" i="29" s="1"/>
  <c r="S7" i="9"/>
  <c r="S7" i="29" s="1"/>
  <c r="S59" i="29" s="1"/>
  <c r="S17" i="9"/>
  <c r="S17" i="29" s="1"/>
  <c r="S69" i="29" s="1"/>
  <c r="S32" i="9"/>
  <c r="S32" i="29" s="1"/>
  <c r="S84" i="29" s="1"/>
  <c r="S28" i="9"/>
  <c r="S28" i="29" s="1"/>
  <c r="S80" i="29" s="1"/>
  <c r="S10" i="9"/>
  <c r="S10" i="29" s="1"/>
  <c r="S62" i="29" s="1"/>
  <c r="S23" i="9"/>
  <c r="S23" i="29" s="1"/>
  <c r="S75" i="29" s="1"/>
  <c r="S31" i="9"/>
  <c r="S31" i="29" s="1"/>
  <c r="S83" i="29" s="1"/>
  <c r="S6" i="9"/>
  <c r="S6" i="29" s="1"/>
  <c r="S58" i="29" s="1"/>
  <c r="S24" i="9"/>
  <c r="S24" i="29" s="1"/>
  <c r="S76" i="29" s="1"/>
  <c r="S9" i="9"/>
  <c r="S9" i="29" s="1"/>
  <c r="S61" i="29" s="1"/>
  <c r="S47" i="9"/>
  <c r="S47" i="29" s="1"/>
  <c r="S99" i="29" s="1"/>
  <c r="Q29" i="11"/>
  <c r="AB29" i="11" s="1"/>
  <c r="L29" i="12"/>
  <c r="Q29" i="12" s="1"/>
  <c r="L29" i="13"/>
  <c r="Q29" i="13" s="1"/>
  <c r="Q39" i="11"/>
  <c r="AB39" i="11" s="1"/>
  <c r="L39" i="12"/>
  <c r="Q39" i="12" s="1"/>
  <c r="L39" i="13"/>
  <c r="Q39" i="13" s="1"/>
  <c r="Q23" i="11"/>
  <c r="AB23" i="11" s="1"/>
  <c r="L23" i="12"/>
  <c r="Q23" i="12" s="1"/>
  <c r="L23" i="13"/>
  <c r="Q23" i="13" s="1"/>
  <c r="Q19" i="11"/>
  <c r="AB19" i="11" s="1"/>
  <c r="L19" i="12"/>
  <c r="Q19" i="12" s="1"/>
  <c r="L19" i="13"/>
  <c r="Q19" i="13" s="1"/>
  <c r="Q9" i="11"/>
  <c r="AB9" i="11" s="1"/>
  <c r="L9" i="12"/>
  <c r="Q9" i="12" s="1"/>
  <c r="L9" i="13"/>
  <c r="Q9" i="13" s="1"/>
  <c r="Q27" i="11"/>
  <c r="AB27" i="11" s="1"/>
  <c r="L27" i="12"/>
  <c r="Q27" i="12" s="1"/>
  <c r="L27" i="13"/>
  <c r="Q27" i="13" s="1"/>
  <c r="Q22" i="11"/>
  <c r="AB22" i="11" s="1"/>
  <c r="L22" i="12"/>
  <c r="Q22" i="12" s="1"/>
  <c r="L22" i="13"/>
  <c r="Q22" i="13" s="1"/>
  <c r="Q17" i="11"/>
  <c r="AB17" i="11" s="1"/>
  <c r="L17" i="12"/>
  <c r="Q17" i="12" s="1"/>
  <c r="L17" i="13"/>
  <c r="Q17" i="13" s="1"/>
  <c r="Q32" i="11"/>
  <c r="AB32" i="11" s="1"/>
  <c r="L32" i="12"/>
  <c r="Q32" i="12" s="1"/>
  <c r="L32" i="13"/>
  <c r="Q32" i="13" s="1"/>
  <c r="Q11" i="11"/>
  <c r="AB11" i="11" s="1"/>
  <c r="L11" i="12"/>
  <c r="Q11" i="12" s="1"/>
  <c r="L11" i="13"/>
  <c r="Q11" i="13" s="1"/>
  <c r="L5" i="30" l="1"/>
  <c r="L48" i="30" s="1"/>
  <c r="L27" i="30"/>
  <c r="L70" i="30" s="1"/>
  <c r="L6" i="30"/>
  <c r="L49" i="30" s="1"/>
  <c r="C9" i="32"/>
  <c r="C11" i="32"/>
  <c r="L30" i="30"/>
  <c r="L73" i="30" s="1"/>
  <c r="J9" i="32"/>
  <c r="G15" i="32"/>
  <c r="G14" i="32"/>
  <c r="W44" i="12"/>
  <c r="L10" i="30"/>
  <c r="L53" i="30" s="1"/>
  <c r="J11" i="32"/>
  <c r="J7" i="32"/>
  <c r="J13" i="32" s="1"/>
  <c r="F9" i="32"/>
  <c r="F7" i="32"/>
  <c r="F13" i="32" s="1"/>
  <c r="F11" i="32"/>
  <c r="C7" i="32"/>
  <c r="C13" i="32" s="1"/>
  <c r="L18" i="30"/>
  <c r="L61" i="30" s="1"/>
  <c r="L8" i="30"/>
  <c r="L51" i="30" s="1"/>
  <c r="L31" i="30"/>
  <c r="L74" i="30" s="1"/>
  <c r="L28" i="30"/>
  <c r="L71" i="30" s="1"/>
  <c r="L14" i="30"/>
  <c r="L57" i="30" s="1"/>
  <c r="L9" i="30"/>
  <c r="L52" i="30" s="1"/>
  <c r="L7" i="30"/>
  <c r="L50" i="30" s="1"/>
  <c r="B9" i="32" s="1"/>
  <c r="L42" i="30"/>
  <c r="L85" i="30" s="1"/>
  <c r="L33" i="30"/>
  <c r="L76" i="30" s="1"/>
  <c r="L20" i="30"/>
  <c r="L63" i="30" s="1"/>
  <c r="I11" i="31"/>
  <c r="I7" i="31"/>
  <c r="I13" i="31" s="1"/>
  <c r="I9" i="31"/>
  <c r="L19" i="30"/>
  <c r="L62" i="30" s="1"/>
  <c r="L21" i="30"/>
  <c r="L64" i="30" s="1"/>
  <c r="L12" i="30"/>
  <c r="L55" i="30" s="1"/>
  <c r="L11" i="30"/>
  <c r="L54" i="30" s="1"/>
  <c r="L23" i="30"/>
  <c r="L66" i="30" s="1"/>
  <c r="L25" i="30"/>
  <c r="L68" i="30" s="1"/>
  <c r="L40" i="30"/>
  <c r="L83" i="30" s="1"/>
  <c r="L37" i="30"/>
  <c r="L80" i="30" s="1"/>
  <c r="L32" i="30"/>
  <c r="L75" i="30" s="1"/>
  <c r="L39" i="30"/>
  <c r="L82" i="30" s="1"/>
  <c r="L15" i="30"/>
  <c r="L58" i="30" s="1"/>
  <c r="L13" i="30"/>
  <c r="L56" i="30" s="1"/>
  <c r="L16" i="30"/>
  <c r="L59" i="30" s="1"/>
  <c r="L36" i="30"/>
  <c r="L79" i="30" s="1"/>
  <c r="L17" i="30"/>
  <c r="L60" i="30" s="1"/>
  <c r="L29" i="30"/>
  <c r="L72" i="30" s="1"/>
  <c r="L26" i="30"/>
  <c r="L69" i="30" s="1"/>
  <c r="L41" i="30"/>
  <c r="L84" i="30" s="1"/>
  <c r="L22" i="30"/>
  <c r="L65" i="30" s="1"/>
  <c r="L38" i="30"/>
  <c r="L81" i="30" s="1"/>
  <c r="L35" i="30"/>
  <c r="L78" i="30" s="1"/>
  <c r="L24" i="30"/>
  <c r="L67" i="30" s="1"/>
  <c r="X42" i="12"/>
  <c r="Y42" i="12" s="1"/>
  <c r="AB42" i="12" s="1"/>
  <c r="X42" i="13"/>
  <c r="U42" i="30" s="1"/>
  <c r="U85" i="30" s="1"/>
  <c r="X18" i="12"/>
  <c r="Y18" i="12" s="1"/>
  <c r="AB18" i="12" s="1"/>
  <c r="X18" i="13"/>
  <c r="U18" i="30" s="1"/>
  <c r="U61" i="30" s="1"/>
  <c r="X23" i="12"/>
  <c r="Y23" i="12" s="1"/>
  <c r="AB23" i="12" s="1"/>
  <c r="X23" i="13"/>
  <c r="L44" i="13"/>
  <c r="Q5" i="13"/>
  <c r="X7" i="12"/>
  <c r="Y7" i="12" s="1"/>
  <c r="AB7" i="12" s="1"/>
  <c r="X7" i="13"/>
  <c r="X17" i="12"/>
  <c r="Y17" i="12" s="1"/>
  <c r="AB17" i="12" s="1"/>
  <c r="X17" i="13"/>
  <c r="X15" i="12"/>
  <c r="Y15" i="12" s="1"/>
  <c r="AB15" i="12" s="1"/>
  <c r="X15" i="13"/>
  <c r="X14" i="12"/>
  <c r="Y14" i="12" s="1"/>
  <c r="AB14" i="12" s="1"/>
  <c r="X14" i="13"/>
  <c r="X13" i="12"/>
  <c r="Y13" i="12" s="1"/>
  <c r="AB13" i="12" s="1"/>
  <c r="X13" i="13"/>
  <c r="X37" i="12"/>
  <c r="Y37" i="12" s="1"/>
  <c r="AB37" i="12" s="1"/>
  <c r="X37" i="13"/>
  <c r="X9" i="12"/>
  <c r="Y9" i="12" s="1"/>
  <c r="AB9" i="12" s="1"/>
  <c r="X9" i="13"/>
  <c r="L44" i="12"/>
  <c r="Q5" i="12"/>
  <c r="X35" i="12"/>
  <c r="Y35" i="12" s="1"/>
  <c r="AB35" i="12" s="1"/>
  <c r="X35" i="13"/>
  <c r="X36" i="12"/>
  <c r="Y36" i="12" s="1"/>
  <c r="AB36" i="12" s="1"/>
  <c r="X36" i="13"/>
  <c r="X11" i="12"/>
  <c r="Y11" i="12" s="1"/>
  <c r="AB11" i="12" s="1"/>
  <c r="X11" i="13"/>
  <c r="X39" i="12"/>
  <c r="Y39" i="12" s="1"/>
  <c r="AB39" i="12" s="1"/>
  <c r="X39" i="13"/>
  <c r="X21" i="12"/>
  <c r="Y21" i="12" s="1"/>
  <c r="AB21" i="12" s="1"/>
  <c r="X21" i="13"/>
  <c r="Q44" i="11"/>
  <c r="AB5" i="11"/>
  <c r="X34" i="12"/>
  <c r="Y34" i="12" s="1"/>
  <c r="AB34" i="12" s="1"/>
  <c r="X34" i="13"/>
  <c r="X33" i="12"/>
  <c r="Y33" i="12" s="1"/>
  <c r="AB33" i="12" s="1"/>
  <c r="X33" i="13"/>
  <c r="AB46" i="12"/>
  <c r="AB46" i="13"/>
  <c r="AB46" i="11"/>
  <c r="AB46" i="10"/>
  <c r="X22" i="12"/>
  <c r="Y22" i="12" s="1"/>
  <c r="AB22" i="12" s="1"/>
  <c r="X22" i="13"/>
  <c r="X26" i="12"/>
  <c r="Y26" i="12" s="1"/>
  <c r="AB26" i="12" s="1"/>
  <c r="X26" i="13"/>
  <c r="X20" i="12"/>
  <c r="Y20" i="12" s="1"/>
  <c r="AB20" i="12" s="1"/>
  <c r="X20" i="13"/>
  <c r="X24" i="12"/>
  <c r="Y24" i="12" s="1"/>
  <c r="AB24" i="12" s="1"/>
  <c r="X24" i="13"/>
  <c r="X31" i="12"/>
  <c r="Y31" i="12" s="1"/>
  <c r="AB31" i="12" s="1"/>
  <c r="X31" i="13"/>
  <c r="X19" i="12"/>
  <c r="Y19" i="12" s="1"/>
  <c r="AB19" i="12" s="1"/>
  <c r="X19" i="13"/>
  <c r="S53" i="9"/>
  <c r="X38" i="12"/>
  <c r="Y38" i="12" s="1"/>
  <c r="AB38" i="12" s="1"/>
  <c r="X38" i="13"/>
  <c r="X8" i="12"/>
  <c r="Y8" i="12" s="1"/>
  <c r="AB8" i="12" s="1"/>
  <c r="X8" i="13"/>
  <c r="U8" i="30" s="1"/>
  <c r="U51" i="30" s="1"/>
  <c r="X32" i="12"/>
  <c r="Y32" i="12" s="1"/>
  <c r="AB32" i="12" s="1"/>
  <c r="X32" i="13"/>
  <c r="U32" i="30" s="1"/>
  <c r="U75" i="30" s="1"/>
  <c r="X29" i="12"/>
  <c r="Y29" i="12" s="1"/>
  <c r="AB29" i="12" s="1"/>
  <c r="X29" i="13"/>
  <c r="U29" i="30" s="1"/>
  <c r="U72" i="30" s="1"/>
  <c r="X25" i="12"/>
  <c r="Y25" i="12" s="1"/>
  <c r="AB25" i="12" s="1"/>
  <c r="X25" i="13"/>
  <c r="X6" i="12"/>
  <c r="Y6" i="12" s="1"/>
  <c r="AB6" i="12" s="1"/>
  <c r="X6" i="13"/>
  <c r="U6" i="30" s="1"/>
  <c r="U49" i="30" s="1"/>
  <c r="X40" i="12"/>
  <c r="Y40" i="12" s="1"/>
  <c r="AB40" i="12" s="1"/>
  <c r="X40" i="13"/>
  <c r="U40" i="30" s="1"/>
  <c r="U83" i="30" s="1"/>
  <c r="X10" i="12"/>
  <c r="Y10" i="12" s="1"/>
  <c r="AB10" i="12" s="1"/>
  <c r="X10" i="13"/>
  <c r="U10" i="30" s="1"/>
  <c r="U53" i="30" s="1"/>
  <c r="X30" i="12"/>
  <c r="Y30" i="12" s="1"/>
  <c r="AB30" i="12" s="1"/>
  <c r="X30" i="13"/>
  <c r="X27" i="12"/>
  <c r="Y27" i="12" s="1"/>
  <c r="AB27" i="12" s="1"/>
  <c r="X27" i="13"/>
  <c r="U27" i="30" s="1"/>
  <c r="U70" i="30" s="1"/>
  <c r="X41" i="12"/>
  <c r="Y41" i="12" s="1"/>
  <c r="AB41" i="12" s="1"/>
  <c r="X41" i="13"/>
  <c r="X12" i="12"/>
  <c r="Y12" i="12" s="1"/>
  <c r="AB12" i="12" s="1"/>
  <c r="X12" i="13"/>
  <c r="U12" i="30" s="1"/>
  <c r="U55" i="30" s="1"/>
  <c r="X16" i="12"/>
  <c r="Y16" i="12" s="1"/>
  <c r="AB16" i="12" s="1"/>
  <c r="X16" i="13"/>
  <c r="X28" i="12"/>
  <c r="Y28" i="12" s="1"/>
  <c r="AB28" i="12" s="1"/>
  <c r="X28" i="13"/>
  <c r="U28" i="30" s="1"/>
  <c r="U71" i="30" s="1"/>
  <c r="J15" i="32" l="1"/>
  <c r="J14" i="32"/>
  <c r="U20" i="30"/>
  <c r="U63" i="30" s="1"/>
  <c r="U21" i="30"/>
  <c r="U64" i="30" s="1"/>
  <c r="U35" i="30"/>
  <c r="U78" i="30" s="1"/>
  <c r="U13" i="30"/>
  <c r="U56" i="30" s="1"/>
  <c r="U7" i="30"/>
  <c r="U50" i="30" s="1"/>
  <c r="F15" i="32"/>
  <c r="F14" i="32"/>
  <c r="C14" i="32"/>
  <c r="C15" i="32"/>
  <c r="U41" i="30"/>
  <c r="U84" i="30" s="1"/>
  <c r="U23" i="30"/>
  <c r="U66" i="30" s="1"/>
  <c r="B15" i="32"/>
  <c r="B14" i="32"/>
  <c r="I15" i="31"/>
  <c r="I14" i="31"/>
  <c r="U19" i="30"/>
  <c r="U62" i="30" s="1"/>
  <c r="U26" i="30"/>
  <c r="U69" i="30" s="1"/>
  <c r="U33" i="30"/>
  <c r="U76" i="30" s="1"/>
  <c r="U39" i="30"/>
  <c r="U82" i="30" s="1"/>
  <c r="U14" i="30"/>
  <c r="U57" i="30" s="1"/>
  <c r="U31" i="30"/>
  <c r="U74" i="30" s="1"/>
  <c r="U22" i="30"/>
  <c r="U65" i="30" s="1"/>
  <c r="U34" i="30"/>
  <c r="U77" i="30" s="1"/>
  <c r="U11" i="30"/>
  <c r="U54" i="30" s="1"/>
  <c r="U9" i="30"/>
  <c r="U52" i="30" s="1"/>
  <c r="U15" i="30"/>
  <c r="U58" i="30" s="1"/>
  <c r="B7" i="32"/>
  <c r="B13" i="32" s="1"/>
  <c r="U24" i="30"/>
  <c r="U67" i="30" s="1"/>
  <c r="AB44" i="11"/>
  <c r="U36" i="30"/>
  <c r="U79" i="30" s="1"/>
  <c r="U37" i="30"/>
  <c r="U80" i="30" s="1"/>
  <c r="U17" i="30"/>
  <c r="U60" i="30" s="1"/>
  <c r="B11" i="32"/>
  <c r="U16" i="30"/>
  <c r="U59" i="30" s="1"/>
  <c r="U30" i="30"/>
  <c r="U73" i="30" s="1"/>
  <c r="U25" i="30"/>
  <c r="U68" i="30" s="1"/>
  <c r="U38" i="30"/>
  <c r="U81" i="30" s="1"/>
  <c r="Y21" i="13"/>
  <c r="AB21" i="13" s="1"/>
  <c r="S12" i="34" s="1"/>
  <c r="Y40" i="13"/>
  <c r="AB40" i="13" s="1"/>
  <c r="S30" i="34" s="1"/>
  <c r="Y28" i="13"/>
  <c r="AB28" i="13" s="1"/>
  <c r="Y25" i="13"/>
  <c r="AB25" i="13" s="1"/>
  <c r="S17" i="34" s="1"/>
  <c r="Y38" i="13"/>
  <c r="AB38" i="13" s="1"/>
  <c r="S29" i="34" s="1"/>
  <c r="Y9" i="13"/>
  <c r="AB9" i="13" s="1"/>
  <c r="S6" i="34" s="1"/>
  <c r="Y15" i="13"/>
  <c r="AB15" i="13" s="1"/>
  <c r="AA127" i="17" s="1"/>
  <c r="Y19" i="13"/>
  <c r="AB19" i="13" s="1"/>
  <c r="Y41" i="13"/>
  <c r="AB41" i="13" s="1"/>
  <c r="S32" i="34" s="1"/>
  <c r="Y10" i="13"/>
  <c r="AB10" i="13" s="1"/>
  <c r="S7" i="34" s="1"/>
  <c r="Y24" i="13"/>
  <c r="AB24" i="13" s="1"/>
  <c r="Y29" i="13"/>
  <c r="AB29" i="13" s="1"/>
  <c r="S22" i="34" s="1"/>
  <c r="Y36" i="13"/>
  <c r="AB36" i="13" s="1"/>
  <c r="S27" i="34" s="1"/>
  <c r="Y37" i="13"/>
  <c r="AB37" i="13" s="1"/>
  <c r="S28" i="34" s="1"/>
  <c r="Y23" i="13"/>
  <c r="AB23" i="13" s="1"/>
  <c r="S14" i="34" s="1"/>
  <c r="Y20" i="13"/>
  <c r="AB20" i="13" s="1"/>
  <c r="Y32" i="13"/>
  <c r="AB32" i="13" s="1"/>
  <c r="Y13" i="13"/>
  <c r="AB13" i="13" s="1"/>
  <c r="AA100" i="17" s="1"/>
  <c r="Y18" i="13"/>
  <c r="AB18" i="13" s="1"/>
  <c r="Y17" i="13"/>
  <c r="AB17" i="13" s="1"/>
  <c r="S10" i="34" s="1"/>
  <c r="Y27" i="13"/>
  <c r="AB27" i="13" s="1"/>
  <c r="S19" i="34" s="1"/>
  <c r="Y35" i="13"/>
  <c r="AB35" i="13" s="1"/>
  <c r="Y12" i="13"/>
  <c r="AB12" i="13" s="1"/>
  <c r="S11" i="34" s="1"/>
  <c r="Y26" i="13"/>
  <c r="AB26" i="13" s="1"/>
  <c r="S18" i="34" s="1"/>
  <c r="Y33" i="13"/>
  <c r="AB33" i="13" s="1"/>
  <c r="Y39" i="13"/>
  <c r="AB39" i="13" s="1"/>
  <c r="S31" i="34" s="1"/>
  <c r="Y7" i="13"/>
  <c r="AB7" i="13" s="1"/>
  <c r="Y6" i="13"/>
  <c r="AB6" i="13" s="1"/>
  <c r="Y8" i="13"/>
  <c r="AB8" i="13" s="1"/>
  <c r="S5" i="34" s="1"/>
  <c r="Y14" i="13"/>
  <c r="AB14" i="13" s="1"/>
  <c r="AA108" i="17" s="1"/>
  <c r="Y42" i="13"/>
  <c r="AB42" i="13" s="1"/>
  <c r="S33" i="34" s="1"/>
  <c r="Y16" i="13"/>
  <c r="AB16" i="13" s="1"/>
  <c r="S8" i="34" s="1"/>
  <c r="Y30" i="13"/>
  <c r="AB30" i="13" s="1"/>
  <c r="S23" i="34" s="1"/>
  <c r="Y31" i="13"/>
  <c r="AB31" i="13" s="1"/>
  <c r="S24" i="34" s="1"/>
  <c r="Y22" i="13"/>
  <c r="AB22" i="13" s="1"/>
  <c r="S13" i="34" s="1"/>
  <c r="Y34" i="13"/>
  <c r="AB34" i="13" s="1"/>
  <c r="Y11" i="13"/>
  <c r="AB11" i="13" s="1"/>
  <c r="S9" i="34" s="1"/>
  <c r="Q44" i="13"/>
  <c r="Q44" i="12"/>
  <c r="X5" i="12"/>
  <c r="X5" i="13"/>
  <c r="U5" i="30" s="1"/>
  <c r="U48" i="30" s="1"/>
  <c r="S15" i="34" l="1"/>
  <c r="S25" i="34"/>
  <c r="S20" i="34"/>
  <c r="G11" i="34"/>
  <c r="G6" i="34"/>
  <c r="S21" i="34"/>
  <c r="S16" i="34"/>
  <c r="S26" i="34"/>
  <c r="K7" i="32"/>
  <c r="K11" i="32"/>
  <c r="M11" i="32" s="1"/>
  <c r="K9" i="32"/>
  <c r="AA144" i="17"/>
  <c r="AA115" i="17"/>
  <c r="AA228" i="16"/>
  <c r="AG228" i="16" s="1"/>
  <c r="AA213" i="16"/>
  <c r="AG213" i="16" s="1"/>
  <c r="AA116" i="17"/>
  <c r="AA233" i="16"/>
  <c r="AG233" i="16" s="1"/>
  <c r="AA132" i="17"/>
  <c r="AA296" i="16"/>
  <c r="AA174" i="16"/>
  <c r="AG174" i="16" s="1"/>
  <c r="AA124" i="17"/>
  <c r="AA210" i="16"/>
  <c r="AG210" i="16" s="1"/>
  <c r="AA236" i="16"/>
  <c r="AG236" i="16" s="1"/>
  <c r="AA214" i="16"/>
  <c r="AG214" i="16" s="1"/>
  <c r="AA145" i="17"/>
  <c r="AA119" i="17"/>
  <c r="AA148" i="17"/>
  <c r="AA170" i="16"/>
  <c r="AG170" i="16" s="1"/>
  <c r="AA131" i="17"/>
  <c r="AA77" i="17"/>
  <c r="AA297" i="16"/>
  <c r="AA227" i="16"/>
  <c r="AG227" i="16" s="1"/>
  <c r="AA130" i="16"/>
  <c r="AA86" i="17"/>
  <c r="AA291" i="16"/>
  <c r="L291" i="27" s="1"/>
  <c r="O291" i="27" s="1"/>
  <c r="AA140" i="16"/>
  <c r="L140" i="27" s="1"/>
  <c r="O140" i="27" s="1"/>
  <c r="AA128" i="16"/>
  <c r="AA134" i="16"/>
  <c r="AG134" i="16" s="1"/>
  <c r="AA78" i="17"/>
  <c r="AA300" i="16"/>
  <c r="AA120" i="17"/>
  <c r="AA232" i="16"/>
  <c r="AG232" i="16" s="1"/>
  <c r="AA136" i="17"/>
  <c r="AA169" i="16"/>
  <c r="AA99" i="17"/>
  <c r="AA242" i="16"/>
  <c r="AG242" i="16" s="1"/>
  <c r="AA249" i="16"/>
  <c r="AG249" i="16" s="1"/>
  <c r="AA152" i="17"/>
  <c r="AA181" i="16"/>
  <c r="AG181" i="16" s="1"/>
  <c r="AA299" i="16"/>
  <c r="AA215" i="16"/>
  <c r="AG215" i="16" s="1"/>
  <c r="AA237" i="16"/>
  <c r="AG237" i="16" s="1"/>
  <c r="AA141" i="17"/>
  <c r="AA131" i="16"/>
  <c r="L131" i="27" s="1"/>
  <c r="O131" i="27" s="1"/>
  <c r="AA175" i="16"/>
  <c r="AG175" i="16" s="1"/>
  <c r="AA295" i="16"/>
  <c r="L295" i="27" s="1"/>
  <c r="O295" i="27" s="1"/>
  <c r="AA238" i="16"/>
  <c r="AG238" i="16" s="1"/>
  <c r="AA155" i="17"/>
  <c r="AA117" i="16"/>
  <c r="AA266" i="16"/>
  <c r="AA252" i="16"/>
  <c r="AA81" i="17"/>
  <c r="AA125" i="16"/>
  <c r="L125" i="27" s="1"/>
  <c r="O125" i="27" s="1"/>
  <c r="AA155" i="16"/>
  <c r="AA207" i="16"/>
  <c r="AG207" i="16" s="1"/>
  <c r="AA82" i="17"/>
  <c r="AA114" i="16"/>
  <c r="AA272" i="16"/>
  <c r="AA143" i="16"/>
  <c r="AA184" i="16"/>
  <c r="AG184" i="16" s="1"/>
  <c r="AA49" i="17"/>
  <c r="AA271" i="16"/>
  <c r="AA196" i="16"/>
  <c r="AG196" i="16" s="1"/>
  <c r="AA112" i="17"/>
  <c r="AA93" i="17"/>
  <c r="AA156" i="16"/>
  <c r="AA258" i="16"/>
  <c r="AA269" i="16"/>
  <c r="AA256" i="16"/>
  <c r="AA204" i="16"/>
  <c r="AG204" i="16" s="1"/>
  <c r="AA114" i="17"/>
  <c r="AA75" i="17"/>
  <c r="AA84" i="17"/>
  <c r="AA191" i="16"/>
  <c r="AG191" i="16" s="1"/>
  <c r="AA97" i="17"/>
  <c r="AA298" i="16"/>
  <c r="AA292" i="16"/>
  <c r="L292" i="27" s="1"/>
  <c r="O292" i="27" s="1"/>
  <c r="AA222" i="16"/>
  <c r="AG222" i="16" s="1"/>
  <c r="AA118" i="17"/>
  <c r="AA235" i="16"/>
  <c r="AG235" i="16" s="1"/>
  <c r="AA224" i="16"/>
  <c r="AG224" i="16" s="1"/>
  <c r="AA139" i="17"/>
  <c r="AA134" i="17"/>
  <c r="AA123" i="16"/>
  <c r="AA129" i="16"/>
  <c r="AA121" i="16"/>
  <c r="AA162" i="16"/>
  <c r="AA151" i="16"/>
  <c r="AA274" i="16"/>
  <c r="L274" i="27" s="1"/>
  <c r="O274" i="27" s="1"/>
  <c r="AA262" i="16"/>
  <c r="AA276" i="16"/>
  <c r="AA208" i="16"/>
  <c r="AG208" i="16" s="1"/>
  <c r="AA178" i="16"/>
  <c r="AG178" i="16" s="1"/>
  <c r="AA79" i="17"/>
  <c r="AA194" i="16"/>
  <c r="AG194" i="16" s="1"/>
  <c r="AA192" i="16"/>
  <c r="AG192" i="16" s="1"/>
  <c r="AA88" i="17"/>
  <c r="AA290" i="16"/>
  <c r="L290" i="27" s="1"/>
  <c r="O290" i="27" s="1"/>
  <c r="AA293" i="16"/>
  <c r="L293" i="27" s="1"/>
  <c r="O293" i="27" s="1"/>
  <c r="AA217" i="16"/>
  <c r="AG217" i="16" s="1"/>
  <c r="AA122" i="17"/>
  <c r="AA245" i="16"/>
  <c r="AG245" i="16" s="1"/>
  <c r="AA240" i="16"/>
  <c r="AG240" i="16" s="1"/>
  <c r="AA143" i="17"/>
  <c r="AA146" i="17"/>
  <c r="AA124" i="16"/>
  <c r="AA115" i="16"/>
  <c r="AA168" i="17"/>
  <c r="AA257" i="16"/>
  <c r="L257" i="27" s="1"/>
  <c r="O257" i="27" s="1"/>
  <c r="AA187" i="16"/>
  <c r="AG187" i="16" s="1"/>
  <c r="AA284" i="16"/>
  <c r="AG284" i="16" s="1"/>
  <c r="AA267" i="16"/>
  <c r="AA164" i="16"/>
  <c r="AA152" i="16"/>
  <c r="AA275" i="16"/>
  <c r="AA268" i="16"/>
  <c r="AA265" i="16"/>
  <c r="L265" i="27" s="1"/>
  <c r="O265" i="27" s="1"/>
  <c r="AA103" i="17"/>
  <c r="AA172" i="16"/>
  <c r="AG172" i="16" s="1"/>
  <c r="AA83" i="17"/>
  <c r="AA195" i="16"/>
  <c r="AG195" i="16" s="1"/>
  <c r="AA193" i="16"/>
  <c r="AG193" i="16" s="1"/>
  <c r="AA92" i="17"/>
  <c r="AA294" i="16"/>
  <c r="L294" i="27" s="1"/>
  <c r="O294" i="27" s="1"/>
  <c r="AA218" i="16"/>
  <c r="AG218" i="16" s="1"/>
  <c r="AA117" i="17"/>
  <c r="AA234" i="16"/>
  <c r="AG234" i="16" s="1"/>
  <c r="AA230" i="16"/>
  <c r="AG230" i="16" s="1"/>
  <c r="AA241" i="16"/>
  <c r="AG241" i="16" s="1"/>
  <c r="AA147" i="17"/>
  <c r="AA150" i="17"/>
  <c r="AA133" i="16"/>
  <c r="L133" i="27" s="1"/>
  <c r="O133" i="27" s="1"/>
  <c r="AA116" i="16"/>
  <c r="AA165" i="17"/>
  <c r="AA90" i="17"/>
  <c r="AA149" i="16"/>
  <c r="AA260" i="16"/>
  <c r="L260" i="27" s="1"/>
  <c r="O260" i="27" s="1"/>
  <c r="AA273" i="16"/>
  <c r="L273" i="27" s="1"/>
  <c r="O273" i="27" s="1"/>
  <c r="AA109" i="17"/>
  <c r="AA89" i="17"/>
  <c r="AA94" i="17"/>
  <c r="AA132" i="16"/>
  <c r="AA119" i="16"/>
  <c r="AA166" i="17"/>
  <c r="AA270" i="16"/>
  <c r="AA209" i="16"/>
  <c r="AG209" i="16" s="1"/>
  <c r="AA185" i="16"/>
  <c r="AG185" i="16" s="1"/>
  <c r="AA282" i="16"/>
  <c r="AG282" i="16" s="1"/>
  <c r="AA160" i="16"/>
  <c r="AA255" i="16"/>
  <c r="AA189" i="16"/>
  <c r="AG189" i="16" s="1"/>
  <c r="AA157" i="16"/>
  <c r="AA148" i="16"/>
  <c r="AA253" i="16"/>
  <c r="AA263" i="16"/>
  <c r="AA203" i="16"/>
  <c r="AG203" i="16" s="1"/>
  <c r="AA102" i="17"/>
  <c r="AA182" i="16"/>
  <c r="AG182" i="16" s="1"/>
  <c r="AA80" i="17"/>
  <c r="AA190" i="16"/>
  <c r="AG190" i="16" s="1"/>
  <c r="AA91" i="17"/>
  <c r="AA96" i="17"/>
  <c r="AA289" i="16"/>
  <c r="L289" i="27" s="1"/>
  <c r="AA221" i="16"/>
  <c r="AG221" i="16" s="1"/>
  <c r="AA121" i="17"/>
  <c r="AA250" i="16"/>
  <c r="AG250" i="16" s="1"/>
  <c r="AA247" i="16"/>
  <c r="AG247" i="16" s="1"/>
  <c r="AA129" i="17"/>
  <c r="AA130" i="17"/>
  <c r="AA122" i="16"/>
  <c r="AA127" i="16"/>
  <c r="L127" i="27" s="1"/>
  <c r="O127" i="27" s="1"/>
  <c r="AA120" i="16"/>
  <c r="AA160" i="17"/>
  <c r="AA261" i="16"/>
  <c r="AA183" i="16"/>
  <c r="AG183" i="16" s="1"/>
  <c r="AA113" i="16"/>
  <c r="AA110" i="17"/>
  <c r="AA161" i="17"/>
  <c r="AA48" i="17"/>
  <c r="AA38" i="17"/>
  <c r="AA167" i="17"/>
  <c r="AA280" i="16"/>
  <c r="AG280" i="16" s="1"/>
  <c r="AA8" i="16"/>
  <c r="AA138" i="16"/>
  <c r="L138" i="27" s="1"/>
  <c r="O138" i="27" s="1"/>
  <c r="AA158" i="16"/>
  <c r="L158" i="27" s="1"/>
  <c r="O158" i="27" s="1"/>
  <c r="AA168" i="16"/>
  <c r="AA259" i="16"/>
  <c r="AA254" i="16"/>
  <c r="AA264" i="16"/>
  <c r="AA205" i="16"/>
  <c r="AG205" i="16" s="1"/>
  <c r="AA107" i="17"/>
  <c r="AA186" i="16"/>
  <c r="AG186" i="16" s="1"/>
  <c r="AA188" i="16"/>
  <c r="AG188" i="16" s="1"/>
  <c r="AA95" i="17"/>
  <c r="AA98" i="17"/>
  <c r="AA126" i="16"/>
  <c r="L126" i="27" s="1"/>
  <c r="O126" i="27" s="1"/>
  <c r="AA118" i="16"/>
  <c r="AA279" i="16"/>
  <c r="AG279" i="16" s="1"/>
  <c r="AA288" i="16"/>
  <c r="AG288" i="16" s="1"/>
  <c r="AA147" i="16"/>
  <c r="AA135" i="16"/>
  <c r="AA145" i="16"/>
  <c r="AA198" i="16"/>
  <c r="AG198" i="16" s="1"/>
  <c r="AA111" i="17"/>
  <c r="AA112" i="16"/>
  <c r="AA164" i="17"/>
  <c r="AA283" i="16"/>
  <c r="AG283" i="16" s="1"/>
  <c r="AA40" i="17"/>
  <c r="AA12" i="16"/>
  <c r="AA42" i="17"/>
  <c r="AA78" i="16"/>
  <c r="AG78" i="16" s="1"/>
  <c r="AA154" i="16"/>
  <c r="AA165" i="16"/>
  <c r="L165" i="27" s="1"/>
  <c r="O165" i="27" s="1"/>
  <c r="AA159" i="16"/>
  <c r="AA161" i="16"/>
  <c r="L161" i="27" s="1"/>
  <c r="O161" i="27" s="1"/>
  <c r="AA6" i="16"/>
  <c r="L6" i="27" s="1"/>
  <c r="O6" i="27" s="1"/>
  <c r="AA5" i="16"/>
  <c r="AA200" i="16"/>
  <c r="AG200" i="16" s="1"/>
  <c r="AA113" i="17"/>
  <c r="AA110" i="16"/>
  <c r="AA162" i="17"/>
  <c r="AA286" i="16"/>
  <c r="AG286" i="16" s="1"/>
  <c r="AA157" i="17"/>
  <c r="AA74" i="16"/>
  <c r="AG74" i="16" s="1"/>
  <c r="AA3" i="16"/>
  <c r="L3" i="27" s="1"/>
  <c r="O3" i="27" s="1"/>
  <c r="AA7" i="16"/>
  <c r="AA82" i="16"/>
  <c r="AG82" i="16" s="1"/>
  <c r="AA139" i="16"/>
  <c r="AA142" i="16"/>
  <c r="AA144" i="16"/>
  <c r="AA74" i="17"/>
  <c r="AA10" i="16"/>
  <c r="AA197" i="16"/>
  <c r="AG197" i="16" s="1"/>
  <c r="AA201" i="16"/>
  <c r="AG201" i="16" s="1"/>
  <c r="AA106" i="17"/>
  <c r="AA111" i="16"/>
  <c r="AA159" i="17"/>
  <c r="AA277" i="16"/>
  <c r="AG277" i="16" s="1"/>
  <c r="AA43" i="17"/>
  <c r="AA77" i="16"/>
  <c r="AG77" i="16" s="1"/>
  <c r="AA81" i="16"/>
  <c r="AG81" i="16" s="1"/>
  <c r="AA85" i="16"/>
  <c r="AG85" i="16" s="1"/>
  <c r="AA163" i="16"/>
  <c r="AA150" i="16"/>
  <c r="AA167" i="16"/>
  <c r="AA137" i="16"/>
  <c r="L137" i="27" s="1"/>
  <c r="O137" i="27" s="1"/>
  <c r="AA9" i="16"/>
  <c r="AA11" i="16"/>
  <c r="AA13" i="16"/>
  <c r="AA206" i="16"/>
  <c r="AG206" i="16" s="1"/>
  <c r="AA101" i="17"/>
  <c r="AA104" i="17"/>
  <c r="AA171" i="16"/>
  <c r="AG171" i="16" s="1"/>
  <c r="AA176" i="16"/>
  <c r="AG176" i="16" s="1"/>
  <c r="AA85" i="17"/>
  <c r="AA211" i="16"/>
  <c r="AG211" i="16" s="1"/>
  <c r="AA223" i="16"/>
  <c r="AG223" i="16" s="1"/>
  <c r="AA123" i="17"/>
  <c r="AA126" i="17"/>
  <c r="AA243" i="16"/>
  <c r="AG243" i="16" s="1"/>
  <c r="AA246" i="16"/>
  <c r="AG246" i="16" s="1"/>
  <c r="AA248" i="16"/>
  <c r="AG248" i="16" s="1"/>
  <c r="AA133" i="17"/>
  <c r="AA149" i="17"/>
  <c r="AA138" i="17"/>
  <c r="AA154" i="17"/>
  <c r="AA287" i="16"/>
  <c r="AG287" i="16" s="1"/>
  <c r="AA285" i="16"/>
  <c r="AG285" i="16" s="1"/>
  <c r="AA163" i="17"/>
  <c r="AA76" i="16"/>
  <c r="AG76" i="16" s="1"/>
  <c r="AA75" i="16"/>
  <c r="AG75" i="16" s="1"/>
  <c r="AA44" i="17"/>
  <c r="AA179" i="16"/>
  <c r="AG179" i="16" s="1"/>
  <c r="AA219" i="16"/>
  <c r="AG219" i="16" s="1"/>
  <c r="AA125" i="17"/>
  <c r="AA231" i="16"/>
  <c r="AG231" i="16" s="1"/>
  <c r="AA140" i="17"/>
  <c r="AA46" i="17"/>
  <c r="AA80" i="16"/>
  <c r="AG80" i="16" s="1"/>
  <c r="AA180" i="16"/>
  <c r="AG180" i="16" s="1"/>
  <c r="AA87" i="17"/>
  <c r="AA216" i="16"/>
  <c r="AG216" i="16" s="1"/>
  <c r="AA128" i="17"/>
  <c r="AA251" i="16"/>
  <c r="AG251" i="16" s="1"/>
  <c r="AA244" i="16"/>
  <c r="AG244" i="16" s="1"/>
  <c r="AA135" i="17"/>
  <c r="AA151" i="17"/>
  <c r="AA156" i="17"/>
  <c r="AA84" i="16"/>
  <c r="AG84" i="16" s="1"/>
  <c r="AA146" i="16"/>
  <c r="L146" i="27" s="1"/>
  <c r="O146" i="27" s="1"/>
  <c r="AA141" i="16"/>
  <c r="AA166" i="16"/>
  <c r="AA136" i="16"/>
  <c r="L136" i="27" s="1"/>
  <c r="O136" i="27" s="1"/>
  <c r="AA153" i="16"/>
  <c r="AA2" i="16"/>
  <c r="AA4" i="16"/>
  <c r="AA202" i="16"/>
  <c r="AG202" i="16" s="1"/>
  <c r="AA199" i="16"/>
  <c r="AG199" i="16" s="1"/>
  <c r="AA105" i="17"/>
  <c r="AA173" i="16"/>
  <c r="AG173" i="16" s="1"/>
  <c r="AA177" i="16"/>
  <c r="AG177" i="16" s="1"/>
  <c r="AA76" i="17"/>
  <c r="AA212" i="16"/>
  <c r="AG212" i="16" s="1"/>
  <c r="AA220" i="16"/>
  <c r="AG220" i="16" s="1"/>
  <c r="AA226" i="16"/>
  <c r="AG226" i="16" s="1"/>
  <c r="AA229" i="16"/>
  <c r="AG229" i="16" s="1"/>
  <c r="AA239" i="16"/>
  <c r="AG239" i="16" s="1"/>
  <c r="AA225" i="16"/>
  <c r="AG225" i="16" s="1"/>
  <c r="AA137" i="17"/>
  <c r="AA153" i="17"/>
  <c r="AA142" i="17"/>
  <c r="AA278" i="16"/>
  <c r="AG278" i="16" s="1"/>
  <c r="AA281" i="16"/>
  <c r="AG281" i="16" s="1"/>
  <c r="AA158" i="17"/>
  <c r="AA41" i="17"/>
  <c r="AA45" i="17"/>
  <c r="AA39" i="17"/>
  <c r="AA83" i="16"/>
  <c r="AG83" i="16" s="1"/>
  <c r="AA79" i="16"/>
  <c r="AG79" i="16" s="1"/>
  <c r="AA47" i="17"/>
  <c r="AG292" i="16"/>
  <c r="AG127" i="16"/>
  <c r="AG290" i="16"/>
  <c r="AG293" i="16"/>
  <c r="AG131" i="16"/>
  <c r="AG273" i="16"/>
  <c r="AG289" i="16"/>
  <c r="Y5" i="12"/>
  <c r="X44" i="12"/>
  <c r="Y5" i="13"/>
  <c r="X44" i="13"/>
  <c r="AG133" i="16" l="1"/>
  <c r="AG294" i="16"/>
  <c r="AG3" i="16"/>
  <c r="M9" i="32"/>
  <c r="K15" i="32"/>
  <c r="K14" i="32"/>
  <c r="M7" i="32"/>
  <c r="M13" i="32" s="1"/>
  <c r="K13" i="32"/>
  <c r="AC10" i="27"/>
  <c r="AG144" i="16"/>
  <c r="L144" i="27"/>
  <c r="O144" i="27" s="1"/>
  <c r="AG267" i="16"/>
  <c r="L267" i="27"/>
  <c r="O267" i="27" s="1"/>
  <c r="AG117" i="16"/>
  <c r="L117" i="27"/>
  <c r="O117" i="27" s="1"/>
  <c r="AG299" i="16"/>
  <c r="L299" i="27"/>
  <c r="O299" i="27" s="1"/>
  <c r="AG150" i="16"/>
  <c r="L150" i="27"/>
  <c r="O150" i="27" s="1"/>
  <c r="AG111" i="16"/>
  <c r="L111" i="27"/>
  <c r="O111" i="27" s="1"/>
  <c r="AG139" i="16"/>
  <c r="L139" i="27"/>
  <c r="O139" i="27" s="1"/>
  <c r="AG110" i="16"/>
  <c r="L110" i="27"/>
  <c r="AG154" i="16"/>
  <c r="L154" i="27"/>
  <c r="O154" i="27" s="1"/>
  <c r="AG118" i="16"/>
  <c r="L118" i="27"/>
  <c r="O118" i="27" s="1"/>
  <c r="AG264" i="16"/>
  <c r="L264" i="27"/>
  <c r="O264" i="27" s="1"/>
  <c r="AG255" i="16"/>
  <c r="L255" i="27"/>
  <c r="O255" i="27" s="1"/>
  <c r="AG132" i="16"/>
  <c r="L132" i="27"/>
  <c r="O132" i="27" s="1"/>
  <c r="AG130" i="16"/>
  <c r="L130" i="27"/>
  <c r="O130" i="27" s="1"/>
  <c r="AG151" i="16"/>
  <c r="L151" i="27"/>
  <c r="O151" i="27" s="1"/>
  <c r="AG114" i="16"/>
  <c r="L114" i="27"/>
  <c r="O114" i="27" s="1"/>
  <c r="AG167" i="16"/>
  <c r="L167" i="27"/>
  <c r="O167" i="27" s="1"/>
  <c r="AG162" i="16"/>
  <c r="L162" i="27"/>
  <c r="O162" i="27" s="1"/>
  <c r="AG254" i="16"/>
  <c r="L254" i="27"/>
  <c r="O254" i="27" s="1"/>
  <c r="AG120" i="16"/>
  <c r="L120" i="27"/>
  <c r="O120" i="27" s="1"/>
  <c r="AG160" i="16"/>
  <c r="L160" i="27"/>
  <c r="O160" i="27" s="1"/>
  <c r="AG116" i="16"/>
  <c r="L116" i="27"/>
  <c r="O116" i="27" s="1"/>
  <c r="AG121" i="16"/>
  <c r="L121" i="27"/>
  <c r="O121" i="27" s="1"/>
  <c r="AG271" i="16"/>
  <c r="L271" i="27"/>
  <c r="O271" i="27" s="1"/>
  <c r="AG155" i="16"/>
  <c r="L155" i="27"/>
  <c r="O155" i="27" s="1"/>
  <c r="AG300" i="16"/>
  <c r="L300" i="27"/>
  <c r="O300" i="27" s="1"/>
  <c r="AG141" i="16"/>
  <c r="L141" i="27"/>
  <c r="O141" i="27" s="1"/>
  <c r="AG112" i="16"/>
  <c r="L112" i="27"/>
  <c r="O112" i="27" s="1"/>
  <c r="AG261" i="16"/>
  <c r="L261" i="27"/>
  <c r="O261" i="27" s="1"/>
  <c r="AG7" i="16"/>
  <c r="L7" i="27"/>
  <c r="O7" i="27" s="1"/>
  <c r="AG145" i="16"/>
  <c r="L145" i="27"/>
  <c r="O145" i="27" s="1"/>
  <c r="AG259" i="16"/>
  <c r="L259" i="27"/>
  <c r="O259" i="27" s="1"/>
  <c r="O289" i="27"/>
  <c r="AG263" i="16"/>
  <c r="L263" i="27"/>
  <c r="O263" i="27" s="1"/>
  <c r="AG268" i="16"/>
  <c r="L268" i="27"/>
  <c r="O268" i="27" s="1"/>
  <c r="AG129" i="16"/>
  <c r="L129" i="27"/>
  <c r="O129" i="27" s="1"/>
  <c r="AG256" i="16"/>
  <c r="L256" i="27"/>
  <c r="O256" i="27" s="1"/>
  <c r="AG297" i="16"/>
  <c r="L297" i="27"/>
  <c r="O297" i="27" s="1"/>
  <c r="AG166" i="16"/>
  <c r="L166" i="27"/>
  <c r="O166" i="27" s="1"/>
  <c r="AG159" i="16"/>
  <c r="L159" i="27"/>
  <c r="O159" i="27" s="1"/>
  <c r="AG296" i="16"/>
  <c r="L296" i="27"/>
  <c r="O296" i="27" s="1"/>
  <c r="AG163" i="16"/>
  <c r="L163" i="27"/>
  <c r="O163" i="27" s="1"/>
  <c r="AG2" i="16"/>
  <c r="L2" i="27"/>
  <c r="L81" i="27"/>
  <c r="O81" i="27" s="1"/>
  <c r="L78" i="27"/>
  <c r="O78" i="27" s="1"/>
  <c r="L84" i="27"/>
  <c r="O84" i="27" s="1"/>
  <c r="L80" i="27"/>
  <c r="O80" i="27" s="1"/>
  <c r="L77" i="27"/>
  <c r="O77" i="27" s="1"/>
  <c r="L74" i="27"/>
  <c r="O74" i="27" s="1"/>
  <c r="L83" i="27"/>
  <c r="O83" i="27" s="1"/>
  <c r="L79" i="27"/>
  <c r="O79" i="27" s="1"/>
  <c r="L76" i="27"/>
  <c r="O76" i="27" s="1"/>
  <c r="L85" i="27"/>
  <c r="O85" i="27" s="1"/>
  <c r="L82" i="27"/>
  <c r="O82" i="27" s="1"/>
  <c r="L75" i="27"/>
  <c r="O75" i="27" s="1"/>
  <c r="L13" i="27"/>
  <c r="O13" i="27" s="1"/>
  <c r="AG5" i="16"/>
  <c r="L5" i="27"/>
  <c r="O5" i="27" s="1"/>
  <c r="AG12" i="16"/>
  <c r="L12" i="27"/>
  <c r="O12" i="27" s="1"/>
  <c r="AG135" i="16"/>
  <c r="L135" i="27"/>
  <c r="O135" i="27" s="1"/>
  <c r="AG168" i="16"/>
  <c r="L168" i="27"/>
  <c r="O168" i="27" s="1"/>
  <c r="AG122" i="16"/>
  <c r="L122" i="27"/>
  <c r="O122" i="27" s="1"/>
  <c r="AG253" i="16"/>
  <c r="L253" i="27"/>
  <c r="O253" i="27" s="1"/>
  <c r="AG275" i="16"/>
  <c r="L275" i="27"/>
  <c r="O275" i="27" s="1"/>
  <c r="AG115" i="16"/>
  <c r="L115" i="27"/>
  <c r="O115" i="27" s="1"/>
  <c r="L288" i="27"/>
  <c r="O288" i="27" s="1"/>
  <c r="L280" i="27"/>
  <c r="O280" i="27" s="1"/>
  <c r="L285" i="27"/>
  <c r="O285" i="27" s="1"/>
  <c r="L277" i="27"/>
  <c r="O277" i="27" s="1"/>
  <c r="L282" i="27"/>
  <c r="O282" i="27" s="1"/>
  <c r="L287" i="27"/>
  <c r="O287" i="27" s="1"/>
  <c r="L283" i="27"/>
  <c r="O283" i="27" s="1"/>
  <c r="L279" i="27"/>
  <c r="O279" i="27" s="1"/>
  <c r="L286" i="27"/>
  <c r="O286" i="27" s="1"/>
  <c r="L276" i="27"/>
  <c r="O276" i="27" s="1"/>
  <c r="L278" i="27"/>
  <c r="O278" i="27" s="1"/>
  <c r="L281" i="27"/>
  <c r="O281" i="27" s="1"/>
  <c r="L284" i="27"/>
  <c r="O284" i="27" s="1"/>
  <c r="AG123" i="16"/>
  <c r="L123" i="27"/>
  <c r="O123" i="27" s="1"/>
  <c r="AG298" i="16"/>
  <c r="L298" i="27"/>
  <c r="O298" i="27" s="1"/>
  <c r="AG269" i="16"/>
  <c r="L269" i="27"/>
  <c r="O269" i="27" s="1"/>
  <c r="L251" i="27"/>
  <c r="O251" i="27" s="1"/>
  <c r="L247" i="27"/>
  <c r="O247" i="27" s="1"/>
  <c r="L248" i="27"/>
  <c r="O248" i="27" s="1"/>
  <c r="L236" i="27"/>
  <c r="O236" i="27" s="1"/>
  <c r="L232" i="27"/>
  <c r="O232" i="27" s="1"/>
  <c r="L228" i="27"/>
  <c r="O228" i="27" s="1"/>
  <c r="L224" i="27"/>
  <c r="L243" i="27"/>
  <c r="O243" i="27" s="1"/>
  <c r="L240" i="27"/>
  <c r="O240" i="27" s="1"/>
  <c r="L249" i="27"/>
  <c r="O249" i="27" s="1"/>
  <c r="L244" i="27"/>
  <c r="O244" i="27" s="1"/>
  <c r="L241" i="27"/>
  <c r="O241" i="27" s="1"/>
  <c r="L238" i="27"/>
  <c r="O238" i="27" s="1"/>
  <c r="L234" i="27"/>
  <c r="O234" i="27" s="1"/>
  <c r="L230" i="27"/>
  <c r="O230" i="27" s="1"/>
  <c r="L226" i="27"/>
  <c r="O226" i="27" s="1"/>
  <c r="L239" i="27"/>
  <c r="O239" i="27" s="1"/>
  <c r="L235" i="27"/>
  <c r="O235" i="27" s="1"/>
  <c r="L231" i="27"/>
  <c r="O231" i="27" s="1"/>
  <c r="L227" i="27"/>
  <c r="O227" i="27" s="1"/>
  <c r="L246" i="27"/>
  <c r="O246" i="27" s="1"/>
  <c r="L237" i="27"/>
  <c r="O237" i="27" s="1"/>
  <c r="L245" i="27"/>
  <c r="O245" i="27" s="1"/>
  <c r="L242" i="27"/>
  <c r="O242" i="27" s="1"/>
  <c r="L225" i="27"/>
  <c r="O225" i="27" s="1"/>
  <c r="L134" i="27"/>
  <c r="O134" i="27" s="1"/>
  <c r="L229" i="27"/>
  <c r="O229" i="27" s="1"/>
  <c r="L250" i="27"/>
  <c r="O250" i="27" s="1"/>
  <c r="L233" i="27"/>
  <c r="O233" i="27" s="1"/>
  <c r="L223" i="27"/>
  <c r="O223" i="27" s="1"/>
  <c r="L219" i="27"/>
  <c r="O219" i="27" s="1"/>
  <c r="L215" i="27"/>
  <c r="O215" i="27" s="1"/>
  <c r="L211" i="27"/>
  <c r="O211" i="27" s="1"/>
  <c r="L207" i="27"/>
  <c r="O207" i="27" s="1"/>
  <c r="L203" i="27"/>
  <c r="O203" i="27" s="1"/>
  <c r="L199" i="27"/>
  <c r="O199" i="27" s="1"/>
  <c r="L195" i="27"/>
  <c r="O195" i="27" s="1"/>
  <c r="L191" i="27"/>
  <c r="O191" i="27" s="1"/>
  <c r="L187" i="27"/>
  <c r="O187" i="27" s="1"/>
  <c r="L183" i="27"/>
  <c r="O183" i="27" s="1"/>
  <c r="L179" i="27"/>
  <c r="O179" i="27" s="1"/>
  <c r="L175" i="27"/>
  <c r="O175" i="27" s="1"/>
  <c r="L171" i="27"/>
  <c r="O171" i="27" s="1"/>
  <c r="L220" i="27"/>
  <c r="O220" i="27" s="1"/>
  <c r="L214" i="27"/>
  <c r="O214" i="27" s="1"/>
  <c r="L209" i="27"/>
  <c r="O209" i="27" s="1"/>
  <c r="L204" i="27"/>
  <c r="O204" i="27" s="1"/>
  <c r="L198" i="27"/>
  <c r="O198" i="27" s="1"/>
  <c r="L193" i="27"/>
  <c r="O193" i="27" s="1"/>
  <c r="L188" i="27"/>
  <c r="O188" i="27" s="1"/>
  <c r="L182" i="27"/>
  <c r="O182" i="27" s="1"/>
  <c r="L177" i="27"/>
  <c r="O177" i="27" s="1"/>
  <c r="L172" i="27"/>
  <c r="O172" i="27" s="1"/>
  <c r="L218" i="27"/>
  <c r="O218" i="27" s="1"/>
  <c r="L213" i="27"/>
  <c r="O213" i="27" s="1"/>
  <c r="L208" i="27"/>
  <c r="O208" i="27" s="1"/>
  <c r="L202" i="27"/>
  <c r="O202" i="27" s="1"/>
  <c r="L197" i="27"/>
  <c r="O197" i="27" s="1"/>
  <c r="L192" i="27"/>
  <c r="O192" i="27" s="1"/>
  <c r="L186" i="27"/>
  <c r="O186" i="27" s="1"/>
  <c r="L181" i="27"/>
  <c r="O181" i="27" s="1"/>
  <c r="L176" i="27"/>
  <c r="O176" i="27" s="1"/>
  <c r="L170" i="27"/>
  <c r="O170" i="27" s="1"/>
  <c r="L222" i="27"/>
  <c r="O222" i="27" s="1"/>
  <c r="L217" i="27"/>
  <c r="O217" i="27" s="1"/>
  <c r="L212" i="27"/>
  <c r="O212" i="27" s="1"/>
  <c r="L206" i="27"/>
  <c r="O206" i="27" s="1"/>
  <c r="L201" i="27"/>
  <c r="O201" i="27" s="1"/>
  <c r="L196" i="27"/>
  <c r="O196" i="27" s="1"/>
  <c r="L190" i="27"/>
  <c r="O190" i="27" s="1"/>
  <c r="L185" i="27"/>
  <c r="O185" i="27" s="1"/>
  <c r="L180" i="27"/>
  <c r="O180" i="27" s="1"/>
  <c r="L174" i="27"/>
  <c r="O174" i="27" s="1"/>
  <c r="L221" i="27"/>
  <c r="O221" i="27" s="1"/>
  <c r="L216" i="27"/>
  <c r="O216" i="27" s="1"/>
  <c r="L210" i="27"/>
  <c r="O210" i="27" s="1"/>
  <c r="L205" i="27"/>
  <c r="O205" i="27" s="1"/>
  <c r="L200" i="27"/>
  <c r="O200" i="27" s="1"/>
  <c r="L194" i="27"/>
  <c r="O194" i="27" s="1"/>
  <c r="L189" i="27"/>
  <c r="O189" i="27" s="1"/>
  <c r="L184" i="27"/>
  <c r="O184" i="27" s="1"/>
  <c r="L178" i="27"/>
  <c r="O178" i="27" s="1"/>
  <c r="L173" i="27"/>
  <c r="O173" i="27" s="1"/>
  <c r="AG8" i="16"/>
  <c r="L8" i="27"/>
  <c r="O8" i="27" s="1"/>
  <c r="AG149" i="16"/>
  <c r="L149" i="27"/>
  <c r="O149" i="27" s="1"/>
  <c r="AG142" i="16"/>
  <c r="L142" i="27"/>
  <c r="O142" i="27" s="1"/>
  <c r="AG119" i="16"/>
  <c r="L119" i="27"/>
  <c r="O119" i="27" s="1"/>
  <c r="AG4" i="16"/>
  <c r="L4" i="27"/>
  <c r="O4" i="27" s="1"/>
  <c r="AG153" i="16"/>
  <c r="L153" i="27"/>
  <c r="O153" i="27" s="1"/>
  <c r="AG11" i="16"/>
  <c r="L11" i="27"/>
  <c r="O11" i="27" s="1"/>
  <c r="AG10" i="16"/>
  <c r="L10" i="27"/>
  <c r="O10" i="27" s="1"/>
  <c r="AG147" i="16"/>
  <c r="L147" i="27"/>
  <c r="O147" i="27" s="1"/>
  <c r="AG148" i="16"/>
  <c r="L148" i="27"/>
  <c r="O148" i="27" s="1"/>
  <c r="AG152" i="16"/>
  <c r="L152" i="27"/>
  <c r="O152" i="27" s="1"/>
  <c r="AG124" i="16"/>
  <c r="L124" i="27"/>
  <c r="O124" i="27" s="1"/>
  <c r="AG262" i="16"/>
  <c r="L262" i="27"/>
  <c r="O262" i="27" s="1"/>
  <c r="AG258" i="16"/>
  <c r="L258" i="27"/>
  <c r="O258" i="27" s="1"/>
  <c r="AG143" i="16"/>
  <c r="L143" i="27"/>
  <c r="O143" i="27" s="1"/>
  <c r="AG252" i="16"/>
  <c r="L252" i="27"/>
  <c r="AG128" i="16"/>
  <c r="L128" i="27"/>
  <c r="O128" i="27" s="1"/>
  <c r="AG9" i="16"/>
  <c r="L9" i="27"/>
  <c r="O9" i="27" s="1"/>
  <c r="AG113" i="16"/>
  <c r="L113" i="27"/>
  <c r="O113" i="27" s="1"/>
  <c r="AG157" i="16"/>
  <c r="L157" i="27"/>
  <c r="O157" i="27" s="1"/>
  <c r="AG270" i="16"/>
  <c r="L270" i="27"/>
  <c r="O270" i="27" s="1"/>
  <c r="AG164" i="16"/>
  <c r="L164" i="27"/>
  <c r="O164" i="27" s="1"/>
  <c r="AG156" i="16"/>
  <c r="L156" i="27"/>
  <c r="O156" i="27" s="1"/>
  <c r="AG272" i="16"/>
  <c r="L272" i="27"/>
  <c r="O272" i="27" s="1"/>
  <c r="AG266" i="16"/>
  <c r="L266" i="27"/>
  <c r="O266" i="27" s="1"/>
  <c r="AG169" i="16"/>
  <c r="L169" i="27"/>
  <c r="O169" i="27" s="1"/>
  <c r="AG260" i="16"/>
  <c r="AG140" i="16"/>
  <c r="AG274" i="16"/>
  <c r="AG138" i="16"/>
  <c r="AG161" i="16"/>
  <c r="AG158" i="16"/>
  <c r="AG265" i="16"/>
  <c r="AG257" i="16"/>
  <c r="AG146" i="16"/>
  <c r="AG291" i="16"/>
  <c r="AG126" i="16"/>
  <c r="AG295" i="16"/>
  <c r="AC12" i="27" s="1"/>
  <c r="AG125" i="16"/>
  <c r="AG276" i="16"/>
  <c r="AG13" i="16"/>
  <c r="AG165" i="16"/>
  <c r="AP4" i="16"/>
  <c r="AQ4" i="16" s="1"/>
  <c r="AG137" i="16"/>
  <c r="AG6" i="16"/>
  <c r="AG136" i="16"/>
  <c r="Y44" i="12"/>
  <c r="AB5" i="12"/>
  <c r="AB44" i="12" s="1"/>
  <c r="Y44" i="13"/>
  <c r="AB5" i="13"/>
  <c r="G5" i="34" l="1"/>
  <c r="G10" i="34"/>
  <c r="M14" i="32"/>
  <c r="M15" i="32"/>
  <c r="AC11" i="27"/>
  <c r="T9" i="27"/>
  <c r="O110" i="27"/>
  <c r="W9" i="27" s="1"/>
  <c r="O2" i="27"/>
  <c r="T10" i="27"/>
  <c r="O224" i="27"/>
  <c r="W10" i="27" s="1"/>
  <c r="AC9" i="27"/>
  <c r="W12" i="27"/>
  <c r="O252" i="27"/>
  <c r="W11" i="27" s="1"/>
  <c r="T11" i="27"/>
  <c r="T12" i="27"/>
  <c r="AP6" i="16"/>
  <c r="AQ6" i="16" s="1"/>
  <c r="AP5" i="16"/>
  <c r="AQ5" i="16" s="1"/>
  <c r="AP3" i="16"/>
  <c r="AQ3" i="16" s="1"/>
  <c r="AA104" i="16"/>
  <c r="AG104" i="16" s="1"/>
  <c r="AA68" i="17"/>
  <c r="AA70" i="17"/>
  <c r="AA107" i="16"/>
  <c r="AG107" i="16" s="1"/>
  <c r="AA73" i="17"/>
  <c r="AA109" i="16"/>
  <c r="AG109" i="16" s="1"/>
  <c r="AA101" i="16"/>
  <c r="AG101" i="16" s="1"/>
  <c r="AA71" i="17"/>
  <c r="AA63" i="17"/>
  <c r="AA62" i="17"/>
  <c r="AA106" i="16"/>
  <c r="AG106" i="16" s="1"/>
  <c r="AA98" i="16"/>
  <c r="AA66" i="17"/>
  <c r="AA99" i="16"/>
  <c r="AG99" i="16" s="1"/>
  <c r="AA65" i="17"/>
  <c r="AA103" i="16"/>
  <c r="AG103" i="16" s="1"/>
  <c r="AA69" i="17"/>
  <c r="AA108" i="16"/>
  <c r="AG108" i="16" s="1"/>
  <c r="AA100" i="16"/>
  <c r="AG100" i="16" s="1"/>
  <c r="AA72" i="17"/>
  <c r="AA64" i="17"/>
  <c r="AA105" i="16"/>
  <c r="AG105" i="16" s="1"/>
  <c r="AA67" i="17"/>
  <c r="AA102" i="16"/>
  <c r="AG102" i="16" s="1"/>
  <c r="AB44" i="13"/>
  <c r="AA33" i="16"/>
  <c r="L33" i="27" s="1"/>
  <c r="O33" i="27" s="1"/>
  <c r="AA32" i="16"/>
  <c r="L32" i="27" s="1"/>
  <c r="O32" i="27" s="1"/>
  <c r="AA31" i="16"/>
  <c r="L31" i="27" s="1"/>
  <c r="O31" i="27" s="1"/>
  <c r="AA30" i="16"/>
  <c r="L30" i="27" s="1"/>
  <c r="O30" i="27" s="1"/>
  <c r="AA36" i="16"/>
  <c r="L36" i="27" s="1"/>
  <c r="O36" i="27" s="1"/>
  <c r="AA37" i="16"/>
  <c r="AA29" i="16"/>
  <c r="L29" i="27" s="1"/>
  <c r="O29" i="27" s="1"/>
  <c r="AA28" i="16"/>
  <c r="L28" i="27" s="1"/>
  <c r="O28" i="27" s="1"/>
  <c r="AA35" i="16"/>
  <c r="L35" i="27" s="1"/>
  <c r="O35" i="27" s="1"/>
  <c r="AA27" i="16"/>
  <c r="L27" i="27" s="1"/>
  <c r="O27" i="27" s="1"/>
  <c r="AG98" i="16"/>
  <c r="AA34" i="16"/>
  <c r="L34" i="27" s="1"/>
  <c r="O34" i="27" s="1"/>
  <c r="AA26" i="16"/>
  <c r="L26" i="27" s="1"/>
  <c r="O26" i="27" s="1"/>
  <c r="Z10" i="27" l="1"/>
  <c r="AH10" i="27" s="1"/>
  <c r="Z9" i="27"/>
  <c r="AH9" i="27" s="1"/>
  <c r="L105" i="27"/>
  <c r="O105" i="27" s="1"/>
  <c r="L102" i="27"/>
  <c r="O102" i="27" s="1"/>
  <c r="L107" i="27"/>
  <c r="O107" i="27" s="1"/>
  <c r="L99" i="27"/>
  <c r="O99" i="27" s="1"/>
  <c r="L106" i="27"/>
  <c r="O106" i="27" s="1"/>
  <c r="L109" i="27"/>
  <c r="O109" i="27" s="1"/>
  <c r="L98" i="27"/>
  <c r="O98" i="27" s="1"/>
  <c r="L101" i="27"/>
  <c r="O101" i="27" s="1"/>
  <c r="L108" i="27"/>
  <c r="O108" i="27" s="1"/>
  <c r="L104" i="27"/>
  <c r="O104" i="27" s="1"/>
  <c r="L100" i="27"/>
  <c r="O100" i="27" s="1"/>
  <c r="L103" i="27"/>
  <c r="O103" i="27" s="1"/>
  <c r="L37" i="27"/>
  <c r="O37" i="27" s="1"/>
  <c r="Z12" i="27"/>
  <c r="AH12" i="27" s="1"/>
  <c r="W7" i="27"/>
  <c r="Z11" i="27"/>
  <c r="AH11" i="27" s="1"/>
  <c r="AP8" i="16"/>
  <c r="AQ8" i="16" s="1"/>
  <c r="AG35" i="16"/>
  <c r="AG33" i="16"/>
  <c r="AG27" i="16"/>
  <c r="AG30" i="16"/>
  <c r="AG28" i="16"/>
  <c r="AG26" i="16"/>
  <c r="AC7" i="27" s="1"/>
  <c r="AG29" i="16"/>
  <c r="AG36" i="16"/>
  <c r="AG37" i="16"/>
  <c r="AG32" i="16"/>
  <c r="AG31" i="16"/>
  <c r="AG34" i="16"/>
  <c r="AP2" i="16"/>
  <c r="T7" i="27" l="1"/>
  <c r="Z7" i="27" s="1"/>
  <c r="AH7" i="27" s="1"/>
  <c r="AP7" i="16"/>
  <c r="AQ2" i="16"/>
  <c r="AQ7" i="16" l="1"/>
  <c r="AP9" i="16"/>
  <c r="AQ9" i="16" s="1"/>
  <c r="N225" i="27" l="1"/>
  <c r="K225" i="27"/>
  <c r="AJ9" i="27"/>
  <c r="V9" i="27"/>
  <c r="N110" i="27"/>
  <c r="N163" i="27"/>
  <c r="K163" i="27"/>
  <c r="AB95" i="29"/>
  <c r="AB43" i="29"/>
  <c r="N114" i="27"/>
  <c r="K114" i="27"/>
  <c r="AF72" i="29"/>
  <c r="AF20" i="29"/>
  <c r="N171" i="27"/>
  <c r="K171" i="27"/>
  <c r="AL6" i="9"/>
  <c r="AJ6" i="9"/>
  <c r="N169" i="27"/>
  <c r="K169" i="27"/>
  <c r="AL46" i="8"/>
  <c r="AJ46" i="8"/>
  <c r="N211" i="27"/>
  <c r="K211" i="27"/>
  <c r="N208" i="27"/>
  <c r="K208" i="27"/>
  <c r="AB97" i="29"/>
  <c r="AB45" i="29"/>
  <c r="AD59" i="17"/>
  <c r="Y59" i="17"/>
  <c r="AG92" i="29"/>
  <c r="AG40" i="29"/>
  <c r="AE117" i="17"/>
  <c r="Z117" i="17"/>
  <c r="N296" i="27"/>
  <c r="K296" i="27"/>
  <c r="AB86" i="29"/>
  <c r="AB34" i="29"/>
  <c r="N247" i="27"/>
  <c r="K247" i="27"/>
  <c r="AF5" i="16"/>
  <c r="N239" i="27"/>
  <c r="K239" i="27"/>
  <c r="AL10" i="9"/>
  <c r="AJ10" i="9"/>
  <c r="AF200" i="16"/>
  <c r="Z200" i="16"/>
  <c r="AF217" i="16"/>
  <c r="Z217" i="16"/>
  <c r="Z5" i="16"/>
  <c r="K5" i="27"/>
  <c r="N5" i="27"/>
  <c r="AE13" i="17"/>
  <c r="Z13" i="17"/>
  <c r="N7" i="27"/>
  <c r="K7" i="27"/>
  <c r="N116" i="27"/>
  <c r="K116" i="27"/>
  <c r="M50" i="27"/>
  <c r="J50" i="27"/>
  <c r="AF53" i="9"/>
  <c r="AG19" i="9"/>
  <c r="AE19" i="9"/>
  <c r="AO19" i="9"/>
  <c r="AI7" i="27"/>
  <c r="U7" i="27"/>
  <c r="M14" i="27"/>
  <c r="AF26" i="9"/>
  <c r="AP26" i="9"/>
  <c r="AL13" i="9"/>
  <c r="AJ13" i="9"/>
  <c r="N91" i="29"/>
  <c r="N39" i="29"/>
  <c r="N47" i="8"/>
  <c r="T47" i="8"/>
  <c r="AM47" i="8"/>
  <c r="AM44" i="8"/>
  <c r="T44" i="8"/>
  <c r="N44" i="8"/>
  <c r="AF278" i="16"/>
  <c r="Z278" i="16"/>
  <c r="N3" i="27"/>
  <c r="K3" i="27"/>
  <c r="N6" i="27"/>
  <c r="K6" i="27"/>
  <c r="N277" i="27"/>
  <c r="K277" i="27"/>
  <c r="N108" i="27"/>
  <c r="K108" i="27"/>
  <c r="AC99" i="29"/>
  <c r="AC47" i="29"/>
  <c r="AF47" i="8"/>
  <c r="AP47" i="8"/>
  <c r="AB65" i="29"/>
  <c r="AB13" i="29"/>
  <c r="M59" i="27"/>
  <c r="J59" i="27"/>
  <c r="N232" i="27"/>
  <c r="K232" i="27"/>
  <c r="N285" i="27"/>
  <c r="K285" i="27"/>
  <c r="R13" i="31"/>
  <c r="R7" i="31"/>
  <c r="AG16" i="9"/>
  <c r="AE16" i="9"/>
  <c r="AO16" i="9"/>
  <c r="AF216" i="16"/>
  <c r="Z216" i="16"/>
  <c r="N122" i="27"/>
  <c r="K122" i="27"/>
  <c r="N30" i="27"/>
  <c r="K30" i="27"/>
  <c r="AE158" i="17"/>
  <c r="Z158" i="17"/>
  <c r="AG41" i="9"/>
  <c r="AE41" i="9"/>
  <c r="AO41" i="9"/>
  <c r="AL34" i="9"/>
  <c r="AJ34" i="9"/>
  <c r="AM45" i="9"/>
  <c r="T45" i="9"/>
  <c r="N45" i="9"/>
  <c r="N127" i="27"/>
  <c r="K127" i="27"/>
  <c r="M52" i="27"/>
  <c r="J52" i="27"/>
  <c r="AE106" i="17"/>
  <c r="Z106" i="17"/>
  <c r="AM24" i="8"/>
  <c r="T24" i="8"/>
  <c r="N24" i="8"/>
  <c r="N80" i="27"/>
  <c r="K80" i="27"/>
  <c r="AO13" i="8"/>
  <c r="AE13" i="8"/>
  <c r="AG13" i="8"/>
  <c r="AG83" i="29"/>
  <c r="AG31" i="29"/>
  <c r="N7" i="9"/>
  <c r="T7" i="9"/>
  <c r="AM7" i="9"/>
  <c r="AE98" i="17"/>
  <c r="Z98" i="17"/>
  <c r="AC77" i="29"/>
  <c r="AC25" i="29"/>
  <c r="AF25" i="8"/>
  <c r="AP25" i="8"/>
  <c r="N47" i="27"/>
  <c r="K47" i="27"/>
  <c r="W14" i="31"/>
  <c r="W9" i="31"/>
  <c r="W15" i="31"/>
  <c r="AL21" i="9"/>
  <c r="AJ21" i="9"/>
  <c r="AF10" i="9"/>
  <c r="AP10" i="9"/>
  <c r="AE95" i="16"/>
  <c r="Y95" i="16"/>
  <c r="N73" i="29"/>
  <c r="N21" i="29"/>
  <c r="AF8" i="9"/>
  <c r="AP8" i="9"/>
  <c r="N49" i="27"/>
  <c r="K49" i="27"/>
  <c r="N68" i="27"/>
  <c r="K68" i="27"/>
  <c r="AE92" i="16"/>
  <c r="Y92" i="16"/>
  <c r="AG29" i="9"/>
  <c r="AE29" i="9"/>
  <c r="AO29" i="9"/>
  <c r="Z47" i="16"/>
  <c r="AF47" i="16"/>
  <c r="AF35" i="9"/>
  <c r="AP35" i="9"/>
  <c r="AC79" i="29"/>
  <c r="AC27" i="29"/>
  <c r="AF27" i="8"/>
  <c r="AP27" i="8"/>
  <c r="AB63" i="29"/>
  <c r="AB11" i="29"/>
  <c r="AJ58" i="7"/>
  <c r="AJ53" i="7"/>
  <c r="M19" i="27"/>
  <c r="J19" i="27"/>
  <c r="N286" i="27"/>
  <c r="K286" i="27"/>
  <c r="AU12" i="16"/>
  <c r="AG81" i="29"/>
  <c r="AG29" i="29"/>
  <c r="Y59" i="16"/>
  <c r="AE59" i="16"/>
  <c r="N226" i="27"/>
  <c r="K226" i="27"/>
  <c r="AL49" i="8"/>
  <c r="AJ49" i="8"/>
  <c r="AE77" i="17"/>
  <c r="Z77" i="17"/>
  <c r="N28" i="9"/>
  <c r="T28" i="9"/>
  <c r="AM28" i="9"/>
  <c r="N101" i="27"/>
  <c r="K101" i="27"/>
  <c r="AK38" i="9"/>
  <c r="AK38" i="8"/>
  <c r="M86" i="27"/>
  <c r="J86" i="27"/>
  <c r="N179" i="27"/>
  <c r="K179" i="27"/>
  <c r="AM36" i="9"/>
  <c r="T36" i="9"/>
  <c r="N36" i="9"/>
  <c r="AF235" i="16"/>
  <c r="Z235" i="16"/>
  <c r="N177" i="27"/>
  <c r="K177" i="27"/>
  <c r="AG98" i="29"/>
  <c r="AG46" i="29"/>
  <c r="Z127" i="16"/>
  <c r="AF127" i="16"/>
  <c r="AG84" i="29"/>
  <c r="AG32" i="29"/>
  <c r="AG26" i="9"/>
  <c r="AE26" i="9"/>
  <c r="AO26" i="9"/>
  <c r="AB91" i="29"/>
  <c r="AB39" i="29"/>
  <c r="AK32" i="9"/>
  <c r="AK32" i="6"/>
  <c r="AK32" i="7"/>
  <c r="AK32" i="8"/>
  <c r="N220" i="27"/>
  <c r="K220" i="27"/>
  <c r="U14" i="34"/>
  <c r="AM32" i="7"/>
  <c r="R14" i="34"/>
  <c r="AM33" i="8"/>
  <c r="T33" i="8"/>
  <c r="N33" i="8"/>
  <c r="AO11" i="8"/>
  <c r="AE11" i="8"/>
  <c r="AG11" i="8"/>
  <c r="Z6" i="16"/>
  <c r="AF6" i="16"/>
  <c r="U12" i="34"/>
  <c r="AM30" i="7"/>
  <c r="R12" i="34"/>
  <c r="AE112" i="17"/>
  <c r="Z112" i="17"/>
  <c r="AM30" i="8"/>
  <c r="T30" i="8"/>
  <c r="N30" i="8"/>
  <c r="AV8" i="16"/>
  <c r="N84" i="27"/>
  <c r="K84" i="27"/>
  <c r="AK29" i="8"/>
  <c r="AK29" i="6"/>
  <c r="AK29" i="7"/>
  <c r="AK29" i="9"/>
  <c r="AB72" i="29"/>
  <c r="AB20" i="29"/>
  <c r="Y19" i="16"/>
  <c r="AE19" i="16"/>
  <c r="AG40" i="8"/>
  <c r="AG42" i="8"/>
  <c r="M95" i="27"/>
  <c r="J95" i="27"/>
  <c r="AK38" i="6"/>
  <c r="AK38" i="7"/>
  <c r="AG38" i="29"/>
  <c r="AG90" i="29"/>
  <c r="AE87" i="16"/>
  <c r="Y87" i="16"/>
  <c r="AM39" i="9"/>
  <c r="T39" i="9"/>
  <c r="N39" i="9"/>
  <c r="AF194" i="16"/>
  <c r="Z194" i="16"/>
  <c r="N217" i="27"/>
  <c r="K217" i="27"/>
  <c r="AG49" i="9"/>
  <c r="AE49" i="9"/>
  <c r="AO49" i="9"/>
  <c r="AK31" i="8"/>
  <c r="AK31" i="6"/>
  <c r="AK31" i="7"/>
  <c r="AK31" i="9"/>
  <c r="AF27" i="16"/>
  <c r="N278" i="27"/>
  <c r="K278" i="27"/>
  <c r="X14" i="31"/>
  <c r="X9" i="31"/>
  <c r="X15" i="31"/>
  <c r="AM21" i="8"/>
  <c r="T21" i="8"/>
  <c r="N21" i="8"/>
  <c r="Z169" i="16"/>
  <c r="AF169" i="16"/>
  <c r="Y50" i="16"/>
  <c r="AE50" i="16"/>
  <c r="N74" i="29"/>
  <c r="N22" i="29"/>
  <c r="AF186" i="16"/>
  <c r="Z186" i="16"/>
  <c r="AO20" i="8"/>
  <c r="AE20" i="8"/>
  <c r="AG20" i="8"/>
  <c r="AF29" i="9"/>
  <c r="AP29" i="9"/>
  <c r="AF131" i="16"/>
  <c r="AO42" i="8"/>
  <c r="AE42" i="8"/>
  <c r="AB42" i="29"/>
  <c r="AB94" i="29"/>
  <c r="Z7" i="16"/>
  <c r="AF7" i="16"/>
  <c r="AM22" i="9"/>
  <c r="T22" i="9"/>
  <c r="N22" i="9"/>
  <c r="AF98" i="16"/>
  <c r="Z98" i="16"/>
  <c r="AE55" i="16"/>
  <c r="AD61" i="17"/>
  <c r="Y61" i="17"/>
  <c r="AE88" i="17"/>
  <c r="Z88" i="17"/>
  <c r="AE3" i="17"/>
  <c r="Z3" i="17"/>
  <c r="AE113" i="17"/>
  <c r="Z113" i="17"/>
  <c r="AE123" i="17"/>
  <c r="Z123" i="17"/>
  <c r="N191" i="27"/>
  <c r="K191" i="27"/>
  <c r="N65" i="6"/>
  <c r="AO33" i="9"/>
  <c r="AE33" i="9"/>
  <c r="AG33" i="9"/>
  <c r="AE163" i="17"/>
  <c r="Z163" i="17"/>
  <c r="N219" i="27"/>
  <c r="K219" i="27"/>
  <c r="AF75" i="16"/>
  <c r="Z75" i="16"/>
  <c r="D15" i="31"/>
  <c r="D9" i="31"/>
  <c r="D14" i="31"/>
  <c r="Y52" i="16"/>
  <c r="AE52" i="16"/>
  <c r="AF64" i="29"/>
  <c r="AF12" i="29"/>
  <c r="AE138" i="17"/>
  <c r="Z138" i="17"/>
  <c r="AO39" i="8"/>
  <c r="AE39" i="8"/>
  <c r="AG39" i="8"/>
  <c r="Z296" i="16"/>
  <c r="AF296" i="16"/>
  <c r="N196" i="27"/>
  <c r="K196" i="27"/>
  <c r="Z131" i="16"/>
  <c r="K131" i="27"/>
  <c r="N131" i="27"/>
  <c r="AL16" i="8"/>
  <c r="AJ16" i="8"/>
  <c r="AE76" i="17"/>
  <c r="Z76" i="17"/>
  <c r="N72" i="29"/>
  <c r="N20" i="29"/>
  <c r="AE140" i="17"/>
  <c r="Z140" i="17"/>
  <c r="N137" i="27"/>
  <c r="K137" i="27"/>
  <c r="AG48" i="9"/>
  <c r="AE48" i="9"/>
  <c r="AO48" i="9"/>
  <c r="N29" i="27"/>
  <c r="K29" i="27"/>
  <c r="AO34" i="8"/>
  <c r="AE34" i="8"/>
  <c r="AG34" i="8"/>
  <c r="AB99" i="29"/>
  <c r="AB47" i="29"/>
  <c r="N288" i="27"/>
  <c r="K288" i="27"/>
  <c r="AL16" i="9"/>
  <c r="AJ16" i="9"/>
  <c r="AL15" i="8"/>
  <c r="AJ15" i="8"/>
  <c r="AM35" i="9"/>
  <c r="T35" i="9"/>
  <c r="N35" i="9"/>
  <c r="N261" i="27"/>
  <c r="K261" i="27"/>
  <c r="N25" i="9"/>
  <c r="T25" i="9"/>
  <c r="AM25" i="9"/>
  <c r="AO17" i="9"/>
  <c r="AE17" i="9"/>
  <c r="AG17" i="9"/>
  <c r="AO40" i="8"/>
  <c r="AE40" i="8"/>
  <c r="AB40" i="29"/>
  <c r="AB92" i="29"/>
  <c r="AE103" i="17"/>
  <c r="Z103" i="17"/>
  <c r="Y55" i="16"/>
  <c r="J55" i="27"/>
  <c r="M55" i="27"/>
  <c r="AF283" i="16"/>
  <c r="Z283" i="16"/>
  <c r="AE166" i="17"/>
  <c r="Z166" i="17"/>
  <c r="Z29" i="16"/>
  <c r="AF29" i="16"/>
  <c r="AL48" i="9"/>
  <c r="AJ48" i="9"/>
  <c r="AF234" i="16"/>
  <c r="Z234" i="16"/>
  <c r="AG100" i="29"/>
  <c r="AG48" i="29"/>
  <c r="AL50" i="8"/>
  <c r="AJ50" i="8"/>
  <c r="AK48" i="8"/>
  <c r="AK48" i="6"/>
  <c r="AK48" i="7"/>
  <c r="AK48" i="9"/>
  <c r="AO45" i="8"/>
  <c r="AE45" i="8"/>
  <c r="AG45" i="8"/>
  <c r="Z122" i="16"/>
  <c r="AF122" i="16"/>
  <c r="Z30" i="16"/>
  <c r="AF30" i="16"/>
  <c r="Z27" i="16"/>
  <c r="K27" i="27"/>
  <c r="N27" i="27"/>
  <c r="N184" i="27"/>
  <c r="K184" i="27"/>
  <c r="N267" i="27"/>
  <c r="K267" i="27"/>
  <c r="N45" i="27"/>
  <c r="K45" i="27"/>
  <c r="V13" i="31"/>
  <c r="V7" i="31"/>
  <c r="AF187" i="16"/>
  <c r="Z187" i="16"/>
  <c r="N32" i="9"/>
  <c r="T32" i="9"/>
  <c r="AM32" i="9"/>
  <c r="R27" i="34"/>
  <c r="AM45" i="7"/>
  <c r="U27" i="34"/>
  <c r="AF87" i="29"/>
  <c r="AF35" i="29"/>
  <c r="AE139" i="17"/>
  <c r="Z139" i="17"/>
  <c r="AG93" i="29"/>
  <c r="AG41" i="29"/>
  <c r="AB88" i="29"/>
  <c r="AB36" i="29"/>
  <c r="AF205" i="16"/>
  <c r="Z205" i="16"/>
  <c r="AJ11" i="27"/>
  <c r="V11" i="27"/>
  <c r="N252" i="27"/>
  <c r="AE99" i="17"/>
  <c r="Z99" i="17"/>
  <c r="AE108" i="17"/>
  <c r="Z108" i="17"/>
  <c r="N98" i="27"/>
  <c r="K98" i="27"/>
  <c r="AE101" i="17"/>
  <c r="Z101" i="17"/>
  <c r="AL11" i="8"/>
  <c r="AJ11" i="8"/>
  <c r="AG77" i="29"/>
  <c r="AG25" i="29"/>
  <c r="AL33" i="9"/>
  <c r="AJ33" i="9"/>
  <c r="AF102" i="29"/>
  <c r="AF50" i="29"/>
  <c r="AF46" i="9"/>
  <c r="AP46" i="9"/>
  <c r="U17" i="34"/>
  <c r="AM34" i="7"/>
  <c r="R17" i="34"/>
  <c r="AF204" i="16"/>
  <c r="Z204" i="16"/>
  <c r="AC71" i="29"/>
  <c r="AC19" i="29"/>
  <c r="AF19" i="8"/>
  <c r="AP19" i="8"/>
  <c r="N194" i="27"/>
  <c r="K194" i="27"/>
  <c r="E49" i="5"/>
  <c r="E48" i="5"/>
  <c r="AF189" i="16"/>
  <c r="Z189" i="16"/>
  <c r="AF126" i="16"/>
  <c r="AM37" i="9"/>
  <c r="T37" i="9"/>
  <c r="N37" i="9"/>
  <c r="N140" i="27"/>
  <c r="K140" i="27"/>
  <c r="AF251" i="16"/>
  <c r="Z251" i="16"/>
  <c r="AM26" i="8"/>
  <c r="T26" i="8"/>
  <c r="N26" i="8"/>
  <c r="AM27" i="8"/>
  <c r="T27" i="8"/>
  <c r="N27" i="8"/>
  <c r="N103" i="27"/>
  <c r="K103" i="27"/>
  <c r="AG18" i="8"/>
  <c r="AO43" i="8"/>
  <c r="AE43" i="8"/>
  <c r="AG43" i="8"/>
  <c r="AF74" i="16"/>
  <c r="Z74" i="16"/>
  <c r="AJ12" i="17"/>
  <c r="AJ2" i="17"/>
  <c r="AU8" i="16"/>
  <c r="AU9" i="16"/>
  <c r="AV9" i="16"/>
  <c r="O20" i="5"/>
  <c r="AG12" i="8"/>
  <c r="N37" i="8"/>
  <c r="T37" i="8"/>
  <c r="AM37" i="8"/>
  <c r="Z114" i="16"/>
  <c r="AF114" i="16"/>
  <c r="AE44" i="17"/>
  <c r="Z44" i="17"/>
  <c r="AE148" i="17"/>
  <c r="Z148" i="17"/>
  <c r="N26" i="9"/>
  <c r="T26" i="9"/>
  <c r="AM26" i="9"/>
  <c r="AC76" i="29"/>
  <c r="AC24" i="29"/>
  <c r="AF24" i="8"/>
  <c r="AP24" i="8"/>
  <c r="AE26" i="17"/>
  <c r="Z26" i="17"/>
  <c r="AK21" i="8"/>
  <c r="AK21" i="9"/>
  <c r="N203" i="27"/>
  <c r="K203" i="27"/>
  <c r="M90" i="27"/>
  <c r="J90" i="27"/>
  <c r="AG13" i="9"/>
  <c r="AE13" i="9"/>
  <c r="AO13" i="9"/>
  <c r="N218" i="27"/>
  <c r="K218" i="27"/>
  <c r="AL14" i="9"/>
  <c r="AJ14" i="9"/>
  <c r="N265" i="27"/>
  <c r="K265" i="27"/>
  <c r="Z126" i="16"/>
  <c r="K126" i="27"/>
  <c r="N126" i="27"/>
  <c r="AE141" i="17"/>
  <c r="Z141" i="17"/>
  <c r="AU3" i="16"/>
  <c r="AV3" i="16"/>
  <c r="AG64" i="29"/>
  <c r="AG12" i="29"/>
  <c r="N234" i="27"/>
  <c r="K234" i="27"/>
  <c r="N65" i="27"/>
  <c r="K65" i="27"/>
  <c r="AE96" i="16"/>
  <c r="Y96" i="16"/>
  <c r="Z163" i="16"/>
  <c r="AF163" i="16"/>
  <c r="AE32" i="17"/>
  <c r="Z32" i="17"/>
  <c r="AF128" i="16"/>
  <c r="N58" i="29"/>
  <c r="N6" i="29"/>
  <c r="AF150" i="16"/>
  <c r="N197" i="27"/>
  <c r="K197" i="27"/>
  <c r="AE37" i="17"/>
  <c r="Z37" i="17"/>
  <c r="AC88" i="29"/>
  <c r="AC36" i="29"/>
  <c r="AF36" i="8"/>
  <c r="AP36" i="8"/>
  <c r="AF177" i="16"/>
  <c r="Z177" i="16"/>
  <c r="AF231" i="16"/>
  <c r="Z231" i="16"/>
  <c r="AL45" i="8"/>
  <c r="AJ45" i="8"/>
  <c r="AF69" i="29"/>
  <c r="AF17" i="29"/>
  <c r="AO12" i="8"/>
  <c r="AE12" i="8"/>
  <c r="AB12" i="29"/>
  <c r="AB64" i="29"/>
  <c r="D49" i="5"/>
  <c r="AF198" i="16"/>
  <c r="Z198" i="16"/>
  <c r="AE73" i="17"/>
  <c r="Z73" i="17"/>
  <c r="AF257" i="16"/>
  <c r="N181" i="27"/>
  <c r="K181" i="27"/>
  <c r="AC86" i="29"/>
  <c r="AC34" i="29"/>
  <c r="AF34" i="8"/>
  <c r="AP34" i="8"/>
  <c r="AK21" i="6"/>
  <c r="AK21" i="7"/>
  <c r="AG21" i="29"/>
  <c r="AG73" i="29"/>
  <c r="AL47" i="8"/>
  <c r="AJ47" i="8"/>
  <c r="AF90" i="29"/>
  <c r="AF38" i="29"/>
  <c r="AF225" i="16"/>
  <c r="Z225" i="16"/>
  <c r="AF37" i="9"/>
  <c r="AP37" i="9"/>
  <c r="AL43" i="9"/>
  <c r="AJ43" i="9"/>
  <c r="S12" i="27"/>
  <c r="Y12" i="27"/>
  <c r="AG12" i="27"/>
  <c r="N260" i="27"/>
  <c r="K260" i="27"/>
  <c r="N295" i="27"/>
  <c r="K295" i="27"/>
  <c r="N90" i="29"/>
  <c r="N38" i="29"/>
  <c r="N200" i="27"/>
  <c r="K200" i="27"/>
  <c r="M17" i="27"/>
  <c r="J17" i="27"/>
  <c r="N66" i="27"/>
  <c r="K66" i="27"/>
  <c r="AO34" i="9"/>
  <c r="AE34" i="9"/>
  <c r="AG34" i="9"/>
  <c r="AP12" i="8"/>
  <c r="AF12" i="8"/>
  <c r="AC12" i="29"/>
  <c r="AC64" i="29"/>
  <c r="N83" i="27"/>
  <c r="K83" i="27"/>
  <c r="AK40" i="9"/>
  <c r="AK40" i="6"/>
  <c r="AK40" i="7"/>
  <c r="AK40" i="8"/>
  <c r="AF164" i="16"/>
  <c r="N242" i="27"/>
  <c r="K242" i="27"/>
  <c r="N206" i="27"/>
  <c r="K206" i="27"/>
  <c r="AO55" i="9"/>
  <c r="AO53" i="9"/>
  <c r="AF108" i="16"/>
  <c r="Z108" i="16"/>
  <c r="Z116" i="16"/>
  <c r="AF116" i="16"/>
  <c r="N251" i="27"/>
  <c r="K251" i="27"/>
  <c r="AF96" i="29"/>
  <c r="AF44" i="29"/>
  <c r="Z261" i="16"/>
  <c r="AF261" i="16"/>
  <c r="AD18" i="17"/>
  <c r="Y18" i="17"/>
  <c r="AM41" i="8"/>
  <c r="T41" i="8"/>
  <c r="N41" i="8"/>
  <c r="AD57" i="17"/>
  <c r="Y57" i="17"/>
  <c r="AF179" i="16"/>
  <c r="Z179" i="16"/>
  <c r="AC89" i="29"/>
  <c r="AP37" i="8"/>
  <c r="AF37" i="8"/>
  <c r="AC37" i="29"/>
  <c r="AK34" i="9"/>
  <c r="AK34" i="8"/>
  <c r="N139" i="27"/>
  <c r="K139" i="27"/>
  <c r="Z128" i="16"/>
  <c r="K128" i="27"/>
  <c r="N128" i="27"/>
  <c r="Z150" i="16"/>
  <c r="K150" i="27"/>
  <c r="N150" i="27"/>
  <c r="AE152" i="17"/>
  <c r="Z152" i="17"/>
  <c r="AF117" i="16"/>
  <c r="AF147" i="16"/>
  <c r="N144" i="27"/>
  <c r="K144" i="27"/>
  <c r="AF71" i="16"/>
  <c r="AK44" i="9"/>
  <c r="AK44" i="8"/>
  <c r="AE43" i="17"/>
  <c r="Z43" i="17"/>
  <c r="D48" i="5"/>
  <c r="H48" i="5"/>
  <c r="H51" i="5"/>
  <c r="N209" i="27"/>
  <c r="K209" i="27"/>
  <c r="AF153" i="16"/>
  <c r="AF28" i="16"/>
  <c r="Z45" i="16"/>
  <c r="AF45" i="16"/>
  <c r="AL21" i="7"/>
  <c r="AF155" i="16"/>
  <c r="Z117" i="16"/>
  <c r="K117" i="27"/>
  <c r="N117" i="27"/>
  <c r="AF40" i="9"/>
  <c r="AP40" i="9"/>
  <c r="AF7" i="9"/>
  <c r="AP7" i="9"/>
  <c r="AM35" i="8"/>
  <c r="T35" i="8"/>
  <c r="N35" i="8"/>
  <c r="AC82" i="29"/>
  <c r="AP30" i="8"/>
  <c r="AF30" i="8"/>
  <c r="AC30" i="29"/>
  <c r="N299" i="27"/>
  <c r="K299" i="27"/>
  <c r="N66" i="29"/>
  <c r="N14" i="29"/>
  <c r="N100" i="27"/>
  <c r="K100" i="27"/>
  <c r="N279" i="27"/>
  <c r="K279" i="27"/>
  <c r="N186" i="27"/>
  <c r="K186" i="27"/>
  <c r="AF91" i="29"/>
  <c r="AF39" i="29"/>
  <c r="AE35" i="17"/>
  <c r="Z35" i="17"/>
  <c r="AB69" i="29"/>
  <c r="AB17" i="29"/>
  <c r="AK53" i="8"/>
  <c r="Z137" i="16"/>
  <c r="AF137" i="16"/>
  <c r="AO14" i="9"/>
  <c r="AE14" i="9"/>
  <c r="AG14" i="9"/>
  <c r="AE66" i="17"/>
  <c r="Z66" i="17"/>
  <c r="AL7" i="9"/>
  <c r="AJ7" i="9"/>
  <c r="AE72" i="17"/>
  <c r="Z72" i="17"/>
  <c r="AO32" i="9"/>
  <c r="AE32" i="9"/>
  <c r="AG32" i="9"/>
  <c r="AF78" i="16"/>
  <c r="Z78" i="16"/>
  <c r="Z139" i="16"/>
  <c r="AF139" i="16"/>
  <c r="N243" i="27"/>
  <c r="K243" i="27"/>
  <c r="N10" i="8"/>
  <c r="T10" i="8"/>
  <c r="AM10" i="8"/>
  <c r="AE97" i="17"/>
  <c r="Z97" i="17"/>
  <c r="AM19" i="8"/>
  <c r="T19" i="8"/>
  <c r="N19" i="8"/>
  <c r="AF12" i="9"/>
  <c r="AP12" i="9"/>
  <c r="Z147" i="16"/>
  <c r="K147" i="27"/>
  <c r="N147" i="27"/>
  <c r="AO47" i="8"/>
  <c r="AE47" i="8"/>
  <c r="AG47" i="8"/>
  <c r="Z144" i="16"/>
  <c r="AF144" i="16"/>
  <c r="AE162" i="17"/>
  <c r="Z162" i="17"/>
  <c r="Z71" i="16"/>
  <c r="K71" i="27"/>
  <c r="N71" i="27"/>
  <c r="AF109" i="16"/>
  <c r="Z109" i="16"/>
  <c r="N74" i="27"/>
  <c r="K74" i="27"/>
  <c r="AK44" i="6"/>
  <c r="AK44" i="7"/>
  <c r="AG44" i="29"/>
  <c r="AG96" i="29"/>
  <c r="Z267" i="16"/>
  <c r="AF267" i="16"/>
  <c r="AO30" i="9"/>
  <c r="AE30" i="9"/>
  <c r="AG30" i="9"/>
  <c r="Z153" i="16"/>
  <c r="K153" i="27"/>
  <c r="N153" i="27"/>
  <c r="AF21" i="29"/>
  <c r="AF73" i="29"/>
  <c r="Z155" i="16"/>
  <c r="K155" i="27"/>
  <c r="N155" i="27"/>
  <c r="AE33" i="17"/>
  <c r="Z33" i="17"/>
  <c r="AD56" i="17"/>
  <c r="Y56" i="17"/>
  <c r="AL33" i="8"/>
  <c r="AJ33" i="8"/>
  <c r="N228" i="27"/>
  <c r="K228" i="27"/>
  <c r="AP44" i="8"/>
  <c r="AF44" i="8"/>
  <c r="AC44" i="29"/>
  <c r="AC96" i="29"/>
  <c r="AF81" i="29"/>
  <c r="AF29" i="29"/>
  <c r="Z75" i="17"/>
  <c r="AE75" i="17"/>
  <c r="AJ8" i="17"/>
  <c r="AG53" i="8"/>
  <c r="Y14" i="17"/>
  <c r="AD14" i="17"/>
  <c r="AD7" i="27"/>
  <c r="AF8" i="16"/>
  <c r="AL9" i="9"/>
  <c r="AJ9" i="9"/>
  <c r="N40" i="8"/>
  <c r="T40" i="8"/>
  <c r="AM40" i="8"/>
  <c r="Z49" i="16"/>
  <c r="AF49" i="16"/>
  <c r="Z8" i="16"/>
  <c r="K8" i="27"/>
  <c r="N8" i="27"/>
  <c r="Z68" i="16"/>
  <c r="AF68" i="16"/>
  <c r="AO47" i="9"/>
  <c r="AE47" i="9"/>
  <c r="AG47" i="9"/>
  <c r="U5" i="34"/>
  <c r="AM17" i="7"/>
  <c r="R5" i="34"/>
  <c r="N41" i="27"/>
  <c r="K41" i="27"/>
  <c r="AO9" i="9"/>
  <c r="AE9" i="9"/>
  <c r="AG9" i="9"/>
  <c r="J14" i="27"/>
  <c r="R7" i="27"/>
  <c r="X7" i="27"/>
  <c r="AF7" i="27"/>
  <c r="AF61" i="29"/>
  <c r="AF9" i="29"/>
  <c r="N280" i="27"/>
  <c r="K280" i="27"/>
  <c r="AO27" i="9"/>
  <c r="AE27" i="9"/>
  <c r="AG27" i="9"/>
  <c r="AE53" i="8"/>
  <c r="AG5" i="8"/>
  <c r="AF151" i="16"/>
  <c r="N195" i="27"/>
  <c r="K195" i="27"/>
  <c r="AF33" i="9"/>
  <c r="AP33" i="9"/>
  <c r="AF71" i="29"/>
  <c r="AF19" i="29"/>
  <c r="AF156" i="16"/>
  <c r="AK58" i="7"/>
  <c r="AK53" i="7"/>
  <c r="AM25" i="8"/>
  <c r="T25" i="8"/>
  <c r="N25" i="8"/>
  <c r="AG71" i="29"/>
  <c r="AG19" i="29"/>
  <c r="N33" i="27"/>
  <c r="K33" i="27"/>
  <c r="N94" i="29"/>
  <c r="N42" i="29"/>
  <c r="AE89" i="16"/>
  <c r="Y89" i="16"/>
  <c r="AM40" i="9"/>
  <c r="T40" i="9"/>
  <c r="N40" i="9"/>
  <c r="AE6" i="17"/>
  <c r="Z6" i="17"/>
  <c r="AF185" i="16"/>
  <c r="Z185" i="16"/>
  <c r="AF86" i="29"/>
  <c r="AF34" i="29"/>
  <c r="N103" i="29"/>
  <c r="N51" i="29"/>
  <c r="R8" i="34"/>
  <c r="AM25" i="7"/>
  <c r="U8" i="34"/>
  <c r="AO18" i="8"/>
  <c r="AE18" i="8"/>
  <c r="AB18" i="29"/>
  <c r="AB70" i="29"/>
  <c r="AF78" i="29"/>
  <c r="AF26" i="29"/>
  <c r="N215" i="27"/>
  <c r="K215" i="27"/>
  <c r="Z265" i="16"/>
  <c r="AF265" i="16"/>
  <c r="Z156" i="16"/>
  <c r="K156" i="27"/>
  <c r="N156" i="27"/>
  <c r="AM20" i="8"/>
  <c r="T20" i="8"/>
  <c r="N20" i="8"/>
  <c r="N44" i="27"/>
  <c r="K44" i="27"/>
  <c r="Z33" i="16"/>
  <c r="AF33" i="16"/>
  <c r="Z299" i="16"/>
  <c r="AF299" i="16"/>
  <c r="AG15" i="9"/>
  <c r="AE15" i="9"/>
  <c r="AO15" i="9"/>
  <c r="AL26" i="9"/>
  <c r="AJ26" i="9"/>
  <c r="AG22" i="9"/>
  <c r="AE22" i="9"/>
  <c r="AO22" i="9"/>
  <c r="AL9" i="7"/>
  <c r="N113" i="27"/>
  <c r="K113" i="27"/>
  <c r="AF247" i="16"/>
  <c r="Z247" i="16"/>
  <c r="AF172" i="16"/>
  <c r="Z172" i="16"/>
  <c r="N192" i="27"/>
  <c r="K192" i="27"/>
  <c r="AC78" i="29"/>
  <c r="AC26" i="29"/>
  <c r="AF26" i="8"/>
  <c r="AP26" i="8"/>
  <c r="N43" i="9"/>
  <c r="T43" i="9"/>
  <c r="AM43" i="9"/>
  <c r="AL27" i="9"/>
  <c r="AJ27" i="9"/>
  <c r="N190" i="27"/>
  <c r="K190" i="27"/>
  <c r="N36" i="27"/>
  <c r="K36" i="27"/>
  <c r="AF270" i="16"/>
  <c r="N129" i="27"/>
  <c r="K129" i="27"/>
  <c r="AE145" i="17"/>
  <c r="Z145" i="17"/>
  <c r="AE124" i="17"/>
  <c r="Z124" i="17"/>
  <c r="AE136" i="17"/>
  <c r="Z136" i="17"/>
  <c r="N75" i="29"/>
  <c r="N23" i="29"/>
  <c r="AM50" i="8"/>
  <c r="T50" i="8"/>
  <c r="N50" i="8"/>
  <c r="AE144" i="17"/>
  <c r="Z144" i="17"/>
  <c r="AE168" i="17"/>
  <c r="Z168" i="17"/>
  <c r="AE107" i="17"/>
  <c r="Z107" i="17"/>
  <c r="AE167" i="17"/>
  <c r="Z167" i="17"/>
  <c r="AL17" i="9"/>
  <c r="AJ17" i="9"/>
  <c r="AE78" i="17"/>
  <c r="Z78" i="17"/>
  <c r="AG37" i="9"/>
  <c r="AE37" i="9"/>
  <c r="AO37" i="9"/>
  <c r="N160" i="27"/>
  <c r="K160" i="27"/>
  <c r="AL44" i="8"/>
  <c r="AJ44" i="8"/>
  <c r="AC100" i="29"/>
  <c r="AC48" i="29"/>
  <c r="AF48" i="8"/>
  <c r="AP48" i="8"/>
  <c r="AM30" i="9"/>
  <c r="T30" i="9"/>
  <c r="N30" i="9"/>
  <c r="AL42" i="8"/>
  <c r="AJ42" i="8"/>
  <c r="N102" i="27"/>
  <c r="K102" i="27"/>
  <c r="Z44" i="16"/>
  <c r="AF44" i="16"/>
  <c r="AE63" i="17"/>
  <c r="Z63" i="17"/>
  <c r="AL42" i="9"/>
  <c r="AJ42" i="9"/>
  <c r="AJ9" i="7"/>
  <c r="AJ9" i="8"/>
  <c r="AL9" i="8"/>
  <c r="N18" i="8"/>
  <c r="T18" i="8"/>
  <c r="AM18" i="8"/>
  <c r="N149" i="27"/>
  <c r="K149" i="27"/>
  <c r="AL53" i="9"/>
  <c r="AE114" i="17"/>
  <c r="Z114" i="17"/>
  <c r="AF60" i="29"/>
  <c r="AF8" i="29"/>
  <c r="N13" i="9"/>
  <c r="T13" i="9"/>
  <c r="AM13" i="9"/>
  <c r="N23" i="9"/>
  <c r="T23" i="9"/>
  <c r="AM23" i="9"/>
  <c r="AD54" i="17"/>
  <c r="Y54" i="17"/>
  <c r="AL18" i="9"/>
  <c r="AJ18" i="9"/>
  <c r="AL25" i="8"/>
  <c r="AJ25" i="8"/>
  <c r="AF45" i="9"/>
  <c r="AP45" i="9"/>
  <c r="AE65" i="17"/>
  <c r="Z65" i="17"/>
  <c r="N32" i="8"/>
  <c r="T32" i="8"/>
  <c r="AM32" i="8"/>
  <c r="AO25" i="9"/>
  <c r="AE25" i="9"/>
  <c r="AG25" i="9"/>
  <c r="N8" i="8"/>
  <c r="T8" i="8"/>
  <c r="AM8" i="8"/>
  <c r="AB66" i="29"/>
  <c r="AB14" i="29"/>
  <c r="Z270" i="16"/>
  <c r="K270" i="27"/>
  <c r="N270" i="27"/>
  <c r="AF15" i="9"/>
  <c r="AP15" i="9"/>
  <c r="AG63" i="29"/>
  <c r="AG11" i="29"/>
  <c r="N92" i="29"/>
  <c r="N40" i="29"/>
  <c r="AE143" i="17"/>
  <c r="Z143" i="17"/>
  <c r="N46" i="27"/>
  <c r="K46" i="27"/>
  <c r="M15" i="27"/>
  <c r="J15" i="27"/>
  <c r="AP17" i="8"/>
  <c r="AF17" i="8"/>
  <c r="AC17" i="29"/>
  <c r="AC69" i="29"/>
  <c r="AF184" i="16"/>
  <c r="Z184" i="16"/>
  <c r="N97" i="29"/>
  <c r="N45" i="29"/>
  <c r="AO39" i="9"/>
  <c r="AE39" i="9"/>
  <c r="AG39" i="9"/>
  <c r="N287" i="27"/>
  <c r="K287" i="27"/>
  <c r="U18" i="34"/>
  <c r="AM35" i="7"/>
  <c r="R18" i="34"/>
  <c r="N21" i="9"/>
  <c r="T21" i="9"/>
  <c r="AM21" i="9"/>
  <c r="AK46" i="8"/>
  <c r="AK46" i="6"/>
  <c r="AK46" i="7"/>
  <c r="AK46" i="9"/>
  <c r="AK33" i="9"/>
  <c r="AK33" i="8"/>
  <c r="N123" i="27"/>
  <c r="K123" i="27"/>
  <c r="AB73" i="29"/>
  <c r="AB21" i="29"/>
  <c r="AG46" i="9"/>
  <c r="AE46" i="9"/>
  <c r="AO46" i="9"/>
  <c r="AK43" i="9"/>
  <c r="AK43" i="8"/>
  <c r="N27" i="9"/>
  <c r="T27" i="9"/>
  <c r="AM27" i="9"/>
  <c r="AP29" i="8"/>
  <c r="AF29" i="8"/>
  <c r="AC29" i="29"/>
  <c r="AC81" i="29"/>
  <c r="AG27" i="8"/>
  <c r="AL12" i="8"/>
  <c r="AJ12" i="8"/>
  <c r="N34" i="8"/>
  <c r="T34" i="8"/>
  <c r="AM34" i="8"/>
  <c r="AE92" i="17"/>
  <c r="Z92" i="17"/>
  <c r="AF58" i="8"/>
  <c r="AM53" i="8"/>
  <c r="AE58" i="8"/>
  <c r="N72" i="27"/>
  <c r="K72" i="27"/>
  <c r="AL45" i="9"/>
  <c r="AJ45" i="9"/>
  <c r="AB76" i="29"/>
  <c r="AB24" i="29"/>
  <c r="N109" i="27"/>
  <c r="K109" i="27"/>
  <c r="AE58" i="7"/>
  <c r="AM53" i="7"/>
  <c r="AF58" i="7"/>
  <c r="N63" i="29"/>
  <c r="N11" i="29"/>
  <c r="N14" i="8"/>
  <c r="T14" i="8"/>
  <c r="AM14" i="8"/>
  <c r="Z140" i="16"/>
  <c r="AF140" i="16"/>
  <c r="AF63" i="29"/>
  <c r="AF11" i="29"/>
  <c r="AE115" i="17"/>
  <c r="Z115" i="17"/>
  <c r="AG44" i="9"/>
  <c r="AE44" i="9"/>
  <c r="AO44" i="9"/>
  <c r="AG42" i="9"/>
  <c r="AE42" i="9"/>
  <c r="AO42" i="9"/>
  <c r="AF170" i="16"/>
  <c r="Z170" i="16"/>
  <c r="AK11" i="9"/>
  <c r="AK11" i="6"/>
  <c r="AK11" i="7"/>
  <c r="AK11" i="8"/>
  <c r="AF101" i="16"/>
  <c r="Z101" i="16"/>
  <c r="AE49" i="17"/>
  <c r="Z49" i="17"/>
  <c r="N59" i="29"/>
  <c r="N7" i="29"/>
  <c r="N119" i="27"/>
  <c r="K119" i="27"/>
  <c r="Y17" i="16"/>
  <c r="AE17" i="16"/>
  <c r="AJ10" i="27"/>
  <c r="V10" i="27"/>
  <c r="N224" i="27"/>
  <c r="AC83" i="29"/>
  <c r="AC31" i="29"/>
  <c r="AF31" i="8"/>
  <c r="AP31" i="8"/>
  <c r="AC101" i="29"/>
  <c r="AC49" i="29"/>
  <c r="AF49" i="8"/>
  <c r="AP49" i="8"/>
  <c r="AL25" i="9"/>
  <c r="AJ25" i="9"/>
  <c r="AE147" i="17"/>
  <c r="Z147" i="17"/>
  <c r="N80" i="29"/>
  <c r="N28" i="29"/>
  <c r="N201" i="27"/>
  <c r="K201" i="27"/>
  <c r="AK33" i="6"/>
  <c r="AK33" i="7"/>
  <c r="AG33" i="29"/>
  <c r="AG85" i="29"/>
  <c r="Z123" i="16"/>
  <c r="AF123" i="16"/>
  <c r="AO21" i="8"/>
  <c r="AE21" i="8"/>
  <c r="AG21" i="8"/>
  <c r="AK43" i="6"/>
  <c r="AK43" i="7"/>
  <c r="AG43" i="29"/>
  <c r="AG95" i="29"/>
  <c r="AF263" i="16"/>
  <c r="AE30" i="17"/>
  <c r="Z30" i="17"/>
  <c r="N25" i="29"/>
  <c r="N77" i="29"/>
  <c r="AD15" i="17"/>
  <c r="Y15" i="17"/>
  <c r="AO27" i="8"/>
  <c r="AE27" i="8"/>
  <c r="AB27" i="29"/>
  <c r="AB79" i="29"/>
  <c r="Z260" i="16"/>
  <c r="AF260" i="16"/>
  <c r="AG79" i="29"/>
  <c r="AG27" i="29"/>
  <c r="Z72" i="16"/>
  <c r="AF72" i="16"/>
  <c r="AO24" i="8"/>
  <c r="AE24" i="8"/>
  <c r="AG24" i="8"/>
  <c r="AE47" i="17"/>
  <c r="Z47" i="17"/>
  <c r="AM13" i="8"/>
  <c r="T13" i="8"/>
  <c r="N13" i="8"/>
  <c r="AF178" i="16"/>
  <c r="Z178" i="16"/>
  <c r="AF38" i="9"/>
  <c r="AP38" i="9"/>
  <c r="AE8" i="17"/>
  <c r="Z8" i="17"/>
  <c r="AG67" i="29"/>
  <c r="AG15" i="29"/>
  <c r="AF165" i="16"/>
  <c r="Z119" i="16"/>
  <c r="AF119" i="16"/>
  <c r="AE111" i="17"/>
  <c r="Z111" i="17"/>
  <c r="AO14" i="8"/>
  <c r="AE14" i="8"/>
  <c r="AG14" i="8"/>
  <c r="AL10" i="8"/>
  <c r="AJ10" i="8"/>
  <c r="AF102" i="16"/>
  <c r="Z102" i="16"/>
  <c r="AL39" i="8"/>
  <c r="AJ39" i="8"/>
  <c r="AF98" i="29"/>
  <c r="AF46" i="29"/>
  <c r="AF243" i="16"/>
  <c r="Z243" i="16"/>
  <c r="N124" i="27"/>
  <c r="K124" i="27"/>
  <c r="N290" i="27"/>
  <c r="K290" i="27"/>
  <c r="AL29" i="8"/>
  <c r="AJ29" i="8"/>
  <c r="N12" i="27"/>
  <c r="K12" i="27"/>
  <c r="AG72" i="29"/>
  <c r="AG20" i="29"/>
  <c r="AD22" i="17"/>
  <c r="Y22" i="17"/>
  <c r="Z41" i="16"/>
  <c r="AF41" i="16"/>
  <c r="Z28" i="16"/>
  <c r="K28" i="27"/>
  <c r="N28" i="27"/>
  <c r="Z164" i="16"/>
  <c r="K164" i="27"/>
  <c r="N164" i="27"/>
  <c r="Z257" i="16"/>
  <c r="K257" i="27"/>
  <c r="N257" i="27"/>
  <c r="N81" i="29"/>
  <c r="N29" i="29"/>
  <c r="N238" i="27"/>
  <c r="K238" i="27"/>
  <c r="AF31" i="9"/>
  <c r="AP31" i="9"/>
  <c r="AF269" i="16"/>
  <c r="Z151" i="16"/>
  <c r="K151" i="27"/>
  <c r="N151" i="27"/>
  <c r="AF16" i="9"/>
  <c r="AP16" i="9"/>
  <c r="AK34" i="6"/>
  <c r="AK34" i="7"/>
  <c r="AG34" i="29"/>
  <c r="AG86" i="29"/>
  <c r="Z3" i="16"/>
  <c r="AF3" i="16"/>
  <c r="AK16" i="9"/>
  <c r="AK16" i="8"/>
  <c r="AJ21" i="7"/>
  <c r="AJ21" i="8"/>
  <c r="AL21" i="8"/>
  <c r="AF101" i="29"/>
  <c r="AF49" i="29"/>
  <c r="AM27" i="7"/>
  <c r="AK41" i="8"/>
  <c r="AK41" i="6"/>
  <c r="AK41" i="7"/>
  <c r="AK41" i="9"/>
  <c r="AO36" i="8"/>
  <c r="AE36" i="8"/>
  <c r="AG36" i="8"/>
  <c r="U22" i="34"/>
  <c r="AM38" i="7"/>
  <c r="R22" i="34"/>
  <c r="AK19" i="9"/>
  <c r="AK19" i="6"/>
  <c r="AK19" i="7"/>
  <c r="AK19" i="8"/>
  <c r="AE40" i="17"/>
  <c r="Z40" i="17"/>
  <c r="AE64" i="17"/>
  <c r="Z64" i="17"/>
  <c r="AE130" i="17"/>
  <c r="Z130" i="17"/>
  <c r="N100" i="29"/>
  <c r="N48" i="29"/>
  <c r="Z295" i="16"/>
  <c r="AF295" i="16"/>
  <c r="Z113" i="16"/>
  <c r="AF113" i="16"/>
  <c r="N107" i="27"/>
  <c r="K107" i="27"/>
  <c r="Z149" i="16"/>
  <c r="AF149" i="16"/>
  <c r="Z269" i="16"/>
  <c r="K269" i="27"/>
  <c r="N269" i="27"/>
  <c r="AG66" i="29"/>
  <c r="AG14" i="29"/>
  <c r="E5" i="34"/>
  <c r="H7" i="34"/>
  <c r="H5" i="34"/>
  <c r="AM5" i="7"/>
  <c r="E7" i="34"/>
  <c r="AF181" i="16"/>
  <c r="Z181" i="16"/>
  <c r="AF175" i="16"/>
  <c r="Z175" i="16"/>
  <c r="N33" i="9"/>
  <c r="T33" i="9"/>
  <c r="AM33" i="9"/>
  <c r="Z165" i="16"/>
  <c r="K165" i="27"/>
  <c r="N165" i="27"/>
  <c r="N28" i="8"/>
  <c r="T28" i="8"/>
  <c r="AM28" i="8"/>
  <c r="M94" i="27"/>
  <c r="J94" i="27"/>
  <c r="AF280" i="16"/>
  <c r="Z280" i="16"/>
  <c r="AK16" i="7"/>
  <c r="AG16" i="29"/>
  <c r="AG68" i="29"/>
  <c r="AL30" i="9"/>
  <c r="AJ30" i="9"/>
  <c r="AM51" i="8"/>
  <c r="T51" i="8"/>
  <c r="N51" i="8"/>
  <c r="AF248" i="16"/>
  <c r="Z248" i="16"/>
  <c r="R11" i="31"/>
  <c r="AF28" i="9"/>
  <c r="AP28" i="9"/>
  <c r="AF92" i="29"/>
  <c r="AF40" i="29"/>
  <c r="N31" i="9"/>
  <c r="T31" i="9"/>
  <c r="AM31" i="9"/>
  <c r="AF11" i="16"/>
  <c r="R30" i="34"/>
  <c r="AM49" i="7"/>
  <c r="U30" i="34"/>
  <c r="M53" i="27"/>
  <c r="J53" i="27"/>
  <c r="AK14" i="8"/>
  <c r="AK14" i="6"/>
  <c r="AK14" i="7"/>
  <c r="AK14" i="9"/>
  <c r="AK15" i="8"/>
  <c r="AK15" i="7"/>
  <c r="AK15" i="9"/>
  <c r="AF249" i="16"/>
  <c r="Z249" i="16"/>
  <c r="AE150" i="17"/>
  <c r="Z150" i="17"/>
  <c r="AF80" i="16"/>
  <c r="Z80" i="16"/>
  <c r="AF11" i="9"/>
  <c r="AP11" i="9"/>
  <c r="AF293" i="16"/>
  <c r="AE90" i="16"/>
  <c r="Y90" i="16"/>
  <c r="L67" i="6"/>
  <c r="AG103" i="29"/>
  <c r="AG51" i="29"/>
  <c r="AG7" i="8"/>
  <c r="AO6" i="9"/>
  <c r="AE6" i="9"/>
  <c r="AG6" i="9"/>
  <c r="Z293" i="16"/>
  <c r="K293" i="27"/>
  <c r="N293" i="27"/>
  <c r="AF83" i="29"/>
  <c r="AF31" i="29"/>
  <c r="AG87" i="29"/>
  <c r="AG35" i="29"/>
  <c r="AE7" i="17"/>
  <c r="Z7" i="17"/>
  <c r="AF32" i="16"/>
  <c r="AE39" i="17"/>
  <c r="Z39" i="17"/>
  <c r="Z129" i="16"/>
  <c r="AF129" i="16"/>
  <c r="AC102" i="29"/>
  <c r="AC50" i="29"/>
  <c r="AF50" i="8"/>
  <c r="AP50" i="8"/>
  <c r="AG59" i="29"/>
  <c r="AG7" i="29"/>
  <c r="N111" i="27"/>
  <c r="K111" i="27"/>
  <c r="AM18" i="9"/>
  <c r="T18" i="9"/>
  <c r="N18" i="9"/>
  <c r="N11" i="8"/>
  <c r="T11" i="8"/>
  <c r="AM11" i="8"/>
  <c r="AV5" i="16"/>
  <c r="AU5" i="16"/>
  <c r="N187" i="27"/>
  <c r="K187" i="27"/>
  <c r="AF182" i="16"/>
  <c r="Z182" i="16"/>
  <c r="Z11" i="16"/>
  <c r="K11" i="27"/>
  <c r="N11" i="27"/>
  <c r="AP41" i="8"/>
  <c r="AF41" i="8"/>
  <c r="AC41" i="29"/>
  <c r="AC93" i="29"/>
  <c r="Y53" i="16"/>
  <c r="AE53" i="16"/>
  <c r="AF18" i="9"/>
  <c r="AP18" i="9"/>
  <c r="AF212" i="16"/>
  <c r="Z212" i="16"/>
  <c r="F13" i="34"/>
  <c r="AM13" i="7"/>
  <c r="I13" i="34"/>
  <c r="AL53" i="7"/>
  <c r="AK27" i="9"/>
  <c r="AK27" i="6"/>
  <c r="AK27" i="7"/>
  <c r="AK27" i="8"/>
  <c r="N16" i="9"/>
  <c r="T16" i="9"/>
  <c r="AM16" i="9"/>
  <c r="Z36" i="16"/>
  <c r="AF36" i="16"/>
  <c r="N30" i="29"/>
  <c r="N82" i="29"/>
  <c r="N198" i="27"/>
  <c r="K198" i="27"/>
  <c r="N104" i="27"/>
  <c r="K104" i="27"/>
  <c r="AO7" i="8"/>
  <c r="AE7" i="8"/>
  <c r="AB7" i="29"/>
  <c r="AB59" i="29"/>
  <c r="N230" i="27"/>
  <c r="K230" i="27"/>
  <c r="AK12" i="9"/>
  <c r="AK12" i="6"/>
  <c r="AK12" i="7"/>
  <c r="AK12" i="8"/>
  <c r="N248" i="27"/>
  <c r="K248" i="27"/>
  <c r="AF41" i="9"/>
  <c r="AP41" i="9"/>
  <c r="N88" i="29"/>
  <c r="N36" i="29"/>
  <c r="Z32" i="16"/>
  <c r="K32" i="27"/>
  <c r="N32" i="27"/>
  <c r="AC74" i="29"/>
  <c r="AP22" i="8"/>
  <c r="AF22" i="8"/>
  <c r="AC22" i="29"/>
  <c r="AE121" i="17"/>
  <c r="Z121" i="17"/>
  <c r="AP8" i="8"/>
  <c r="AF8" i="8"/>
  <c r="AC8" i="29"/>
  <c r="AC60" i="29"/>
  <c r="N67" i="29"/>
  <c r="N15" i="29"/>
  <c r="AK35" i="9"/>
  <c r="AK35" i="6"/>
  <c r="AK35" i="7"/>
  <c r="AK35" i="8"/>
  <c r="AE70" i="17"/>
  <c r="Z70" i="17"/>
  <c r="AE91" i="17"/>
  <c r="Z91" i="17"/>
  <c r="AD23" i="17"/>
  <c r="Y23" i="17"/>
  <c r="AL11" i="7"/>
  <c r="AE11" i="27"/>
  <c r="AE157" i="17"/>
  <c r="Z157" i="17"/>
  <c r="AF22" i="9"/>
  <c r="AP22" i="9"/>
  <c r="AF292" i="16"/>
  <c r="N27" i="29"/>
  <c r="N79" i="29"/>
  <c r="N13" i="27"/>
  <c r="K13" i="27"/>
  <c r="AK30" i="9"/>
  <c r="AK30" i="8"/>
  <c r="AF76" i="16"/>
  <c r="Z76" i="16"/>
  <c r="AL37" i="9"/>
  <c r="AJ37" i="9"/>
  <c r="AF62" i="16"/>
  <c r="AF214" i="16"/>
  <c r="Z214" i="16"/>
  <c r="AL17" i="8"/>
  <c r="AJ17" i="8"/>
  <c r="AB7" i="27"/>
  <c r="AF2" i="16"/>
  <c r="M57" i="27"/>
  <c r="J57" i="27"/>
  <c r="N291" i="27"/>
  <c r="K291" i="27"/>
  <c r="AC87" i="29"/>
  <c r="AC35" i="29"/>
  <c r="AF35" i="8"/>
  <c r="AP35" i="8"/>
  <c r="N64" i="27"/>
  <c r="K64" i="27"/>
  <c r="N19" i="9"/>
  <c r="T19" i="9"/>
  <c r="AM19" i="9"/>
  <c r="AE71" i="17"/>
  <c r="Z71" i="17"/>
  <c r="AF103" i="29"/>
  <c r="AF51" i="29"/>
  <c r="N250" i="27"/>
  <c r="K250" i="27"/>
  <c r="N170" i="27"/>
  <c r="K170" i="27"/>
  <c r="AC72" i="29"/>
  <c r="AC20" i="29"/>
  <c r="AF20" i="8"/>
  <c r="AP20" i="8"/>
  <c r="AM49" i="9"/>
  <c r="T49" i="9"/>
  <c r="N49" i="9"/>
  <c r="AL8" i="8"/>
  <c r="AJ8" i="8"/>
  <c r="AL31" i="8"/>
  <c r="AJ31" i="8"/>
  <c r="N81" i="27"/>
  <c r="K81" i="27"/>
  <c r="M58" i="27"/>
  <c r="J58" i="27"/>
  <c r="AK51" i="9"/>
  <c r="AK51" i="6"/>
  <c r="AK51" i="7"/>
  <c r="AK51" i="8"/>
  <c r="N62" i="29"/>
  <c r="N10" i="29"/>
  <c r="AF32" i="9"/>
  <c r="AP32" i="9"/>
  <c r="AF218" i="16"/>
  <c r="Z218" i="16"/>
  <c r="N37" i="27"/>
  <c r="K37" i="27"/>
  <c r="N27" i="6"/>
  <c r="N27" i="7"/>
  <c r="T27" i="7"/>
  <c r="AP27" i="9"/>
  <c r="AF27" i="9"/>
  <c r="AB62" i="29"/>
  <c r="AB10" i="29"/>
  <c r="AE29" i="17"/>
  <c r="Z29" i="17"/>
  <c r="Z263" i="16"/>
  <c r="K263" i="27"/>
  <c r="N263" i="27"/>
  <c r="AF79" i="29"/>
  <c r="AF27" i="29"/>
  <c r="N185" i="27"/>
  <c r="K185" i="27"/>
  <c r="AK28" i="9"/>
  <c r="AK28" i="8"/>
  <c r="AK23" i="9"/>
  <c r="AK23" i="8"/>
  <c r="N212" i="27"/>
  <c r="K212" i="27"/>
  <c r="N204" i="27"/>
  <c r="K204" i="27"/>
  <c r="AF65" i="29"/>
  <c r="AF13" i="29"/>
  <c r="AE116" i="17"/>
  <c r="Z116" i="17"/>
  <c r="AE160" i="17"/>
  <c r="Z160" i="17"/>
  <c r="Z292" i="16"/>
  <c r="K292" i="27"/>
  <c r="N292" i="27"/>
  <c r="AK8" i="9"/>
  <c r="AK8" i="8"/>
  <c r="AK30" i="6"/>
  <c r="AK30" i="7"/>
  <c r="AG30" i="29"/>
  <c r="AG82" i="29"/>
  <c r="AE46" i="17"/>
  <c r="Z46" i="17"/>
  <c r="N40" i="27"/>
  <c r="K40" i="27"/>
  <c r="AL20" i="8"/>
  <c r="AJ20" i="8"/>
  <c r="AD25" i="17"/>
  <c r="Y25" i="17"/>
  <c r="Z291" i="16"/>
  <c r="AF291" i="16"/>
  <c r="AF271" i="16"/>
  <c r="AL29" i="9"/>
  <c r="AJ29" i="9"/>
  <c r="AE153" i="17"/>
  <c r="Z153" i="17"/>
  <c r="N60" i="29"/>
  <c r="N8" i="29"/>
  <c r="AF244" i="16"/>
  <c r="Z244" i="16"/>
  <c r="Z271" i="16"/>
  <c r="K271" i="27"/>
  <c r="N271" i="27"/>
  <c r="AC61" i="29"/>
  <c r="AC9" i="29"/>
  <c r="AF9" i="8"/>
  <c r="AP9" i="8"/>
  <c r="AF245" i="16"/>
  <c r="Z245" i="16"/>
  <c r="AF104" i="16"/>
  <c r="Z104" i="16"/>
  <c r="Z111" i="16"/>
  <c r="AF111" i="16"/>
  <c r="N67" i="27"/>
  <c r="K67" i="27"/>
  <c r="N148" i="27"/>
  <c r="K148" i="27"/>
  <c r="AF281" i="16"/>
  <c r="Z281" i="16"/>
  <c r="AL2" i="16"/>
  <c r="AB80" i="29"/>
  <c r="AB28" i="29"/>
  <c r="AF196" i="16"/>
  <c r="Z196" i="16"/>
  <c r="AE118" i="17"/>
  <c r="Z118" i="17"/>
  <c r="Z62" i="16"/>
  <c r="K62" i="27"/>
  <c r="N62" i="27"/>
  <c r="AF227" i="16"/>
  <c r="Z227" i="16"/>
  <c r="AO10" i="8"/>
  <c r="AE10" i="8"/>
  <c r="AG10" i="8"/>
  <c r="AK5" i="8"/>
  <c r="AK5" i="9"/>
  <c r="AG49" i="8"/>
  <c r="AG9" i="8"/>
  <c r="AC75" i="29"/>
  <c r="AC23" i="29"/>
  <c r="AF23" i="8"/>
  <c r="AP23" i="8"/>
  <c r="AP14" i="8"/>
  <c r="AF14" i="8"/>
  <c r="AC14" i="29"/>
  <c r="AC66" i="29"/>
  <c r="AK28" i="6"/>
  <c r="AK28" i="7"/>
  <c r="AG28" i="29"/>
  <c r="AG80" i="29"/>
  <c r="AK23" i="6"/>
  <c r="AK23" i="7"/>
  <c r="AG23" i="29"/>
  <c r="AG75" i="29"/>
  <c r="AL22" i="9"/>
  <c r="AJ22" i="9"/>
  <c r="AL33" i="7"/>
  <c r="AM12" i="8"/>
  <c r="T12" i="8"/>
  <c r="N12" i="8"/>
  <c r="AK8" i="6"/>
  <c r="AK8" i="7"/>
  <c r="AG8" i="29"/>
  <c r="AG60" i="29"/>
  <c r="N237" i="27"/>
  <c r="K237" i="27"/>
  <c r="AF81" i="16"/>
  <c r="Z81" i="16"/>
  <c r="N244" i="27"/>
  <c r="K244" i="27"/>
  <c r="M97" i="27"/>
  <c r="J97" i="27"/>
  <c r="AL47" i="7"/>
  <c r="M61" i="27"/>
  <c r="J61" i="27"/>
  <c r="N33" i="29"/>
  <c r="N85" i="29"/>
  <c r="AF34" i="9"/>
  <c r="T34" i="7"/>
  <c r="AP34" i="9"/>
  <c r="N249" i="27"/>
  <c r="K249" i="27"/>
  <c r="AL24" i="8"/>
  <c r="AJ24" i="8"/>
  <c r="AM9" i="9"/>
  <c r="T9" i="9"/>
  <c r="N9" i="9"/>
  <c r="AL35" i="8"/>
  <c r="AJ35" i="8"/>
  <c r="AL41" i="8"/>
  <c r="AJ41" i="8"/>
  <c r="AF47" i="29"/>
  <c r="AF99" i="29"/>
  <c r="AE45" i="17"/>
  <c r="Z45" i="17"/>
  <c r="Q35" i="34"/>
  <c r="AM16" i="7"/>
  <c r="T35" i="34"/>
  <c r="AE135" i="17"/>
  <c r="Z135" i="17"/>
  <c r="N161" i="27"/>
  <c r="K161" i="27"/>
  <c r="AF268" i="16"/>
  <c r="AB67" i="29"/>
  <c r="AB15" i="29"/>
  <c r="AE105" i="17"/>
  <c r="Z105" i="17"/>
  <c r="N133" i="27"/>
  <c r="K133" i="27"/>
  <c r="AE81" i="17"/>
  <c r="Z81" i="17"/>
  <c r="AG29" i="8"/>
  <c r="M92" i="27"/>
  <c r="J92" i="27"/>
  <c r="M93" i="27"/>
  <c r="J93" i="27"/>
  <c r="AC85" i="29"/>
  <c r="AC33" i="29"/>
  <c r="AF33" i="8"/>
  <c r="AP33" i="8"/>
  <c r="AL51" i="8"/>
  <c r="AJ51" i="8"/>
  <c r="AO49" i="8"/>
  <c r="AE49" i="8"/>
  <c r="AB49" i="29"/>
  <c r="AB101" i="29"/>
  <c r="AO9" i="8"/>
  <c r="AE9" i="8"/>
  <c r="AB9" i="29"/>
  <c r="AB61" i="29"/>
  <c r="AF23" i="9"/>
  <c r="AP23" i="9"/>
  <c r="Z290" i="16"/>
  <c r="AF290" i="16"/>
  <c r="AJ33" i="7"/>
  <c r="AF33" i="29"/>
  <c r="AF85" i="29"/>
  <c r="AF24" i="9"/>
  <c r="AP24" i="9"/>
  <c r="AE95" i="17"/>
  <c r="Z95" i="17"/>
  <c r="N76" i="27"/>
  <c r="K76" i="27"/>
  <c r="AF69" i="16"/>
  <c r="AE86" i="16"/>
  <c r="Y86" i="16"/>
  <c r="N235" i="27"/>
  <c r="K235" i="27"/>
  <c r="N17" i="8"/>
  <c r="T17" i="8"/>
  <c r="AM17" i="8"/>
  <c r="AP28" i="8"/>
  <c r="AF28" i="8"/>
  <c r="AC28" i="29"/>
  <c r="AC80" i="29"/>
  <c r="AF70" i="29"/>
  <c r="AF18" i="29"/>
  <c r="R23" i="34"/>
  <c r="AM39" i="7"/>
  <c r="U23" i="34"/>
  <c r="AJ47" i="7"/>
  <c r="AJ47" i="9"/>
  <c r="AL47" i="9"/>
  <c r="AO51" i="9"/>
  <c r="AE51" i="9"/>
  <c r="AG51" i="9"/>
  <c r="Y61" i="16"/>
  <c r="AE61" i="16"/>
  <c r="AK22" i="8"/>
  <c r="AK22" i="9"/>
  <c r="N106" i="27"/>
  <c r="K106" i="27"/>
  <c r="AM8" i="9"/>
  <c r="T8" i="9"/>
  <c r="N8" i="9"/>
  <c r="N98" i="29"/>
  <c r="N46" i="29"/>
  <c r="I8" i="34"/>
  <c r="I7" i="34"/>
  <c r="F7" i="34"/>
  <c r="AM8" i="7"/>
  <c r="F8" i="34"/>
  <c r="AG21" i="9"/>
  <c r="AE21" i="9"/>
  <c r="AO21" i="9"/>
  <c r="AL35" i="9"/>
  <c r="AJ35" i="9"/>
  <c r="AM29" i="7"/>
  <c r="AB68" i="29"/>
  <c r="AB16" i="29"/>
  <c r="AG35" i="9"/>
  <c r="AE35" i="9"/>
  <c r="AO35" i="9"/>
  <c r="AL49" i="9"/>
  <c r="AJ49" i="9"/>
  <c r="AF83" i="16"/>
  <c r="Z83" i="16"/>
  <c r="AG101" i="29"/>
  <c r="AG49" i="29"/>
  <c r="AE125" i="17"/>
  <c r="Z125" i="17"/>
  <c r="AK25" i="8"/>
  <c r="AK25" i="6"/>
  <c r="AK25" i="7"/>
  <c r="AK25" i="9"/>
  <c r="Z124" i="16"/>
  <c r="AF124" i="16"/>
  <c r="AO17" i="8"/>
  <c r="AE17" i="8"/>
  <c r="AG17" i="8"/>
  <c r="N188" i="27"/>
  <c r="K188" i="27"/>
  <c r="AE133" i="17"/>
  <c r="Z133" i="17"/>
  <c r="AL37" i="8"/>
  <c r="AJ37" i="8"/>
  <c r="N221" i="27"/>
  <c r="K221" i="27"/>
  <c r="AM38" i="8"/>
  <c r="T38" i="8"/>
  <c r="N38" i="8"/>
  <c r="Z69" i="16"/>
  <c r="K69" i="27"/>
  <c r="N69" i="27"/>
  <c r="AG38" i="8"/>
  <c r="AM46" i="8"/>
  <c r="T46" i="8"/>
  <c r="N46" i="8"/>
  <c r="N96" i="29"/>
  <c r="N44" i="29"/>
  <c r="AK13" i="9"/>
  <c r="AK13" i="8"/>
  <c r="AG32" i="8"/>
  <c r="AF58" i="29"/>
  <c r="AF6" i="29"/>
  <c r="AF213" i="16"/>
  <c r="Z213" i="16"/>
  <c r="AK47" i="9"/>
  <c r="AK47" i="8"/>
  <c r="AF288" i="16"/>
  <c r="Z288" i="16"/>
  <c r="AP38" i="8"/>
  <c r="AF38" i="8"/>
  <c r="AC38" i="29"/>
  <c r="AC90" i="29"/>
  <c r="N240" i="27"/>
  <c r="K240" i="27"/>
  <c r="AK6" i="8"/>
  <c r="AK6" i="9"/>
  <c r="AF100" i="16"/>
  <c r="Z100" i="16"/>
  <c r="AL15" i="9"/>
  <c r="AJ15" i="9"/>
  <c r="AF107" i="16"/>
  <c r="Z107" i="16"/>
  <c r="AK53" i="9"/>
  <c r="AF76" i="29"/>
  <c r="AF24" i="29"/>
  <c r="AM51" i="9"/>
  <c r="T51" i="9"/>
  <c r="N51" i="9"/>
  <c r="N245" i="27"/>
  <c r="K245" i="27"/>
  <c r="AM39" i="8"/>
  <c r="T39" i="8"/>
  <c r="N39" i="8"/>
  <c r="AM46" i="9"/>
  <c r="T46" i="9"/>
  <c r="N46" i="9"/>
  <c r="AF4" i="16"/>
  <c r="N15" i="9"/>
  <c r="T15" i="9"/>
  <c r="AM15" i="9"/>
  <c r="N202" i="27"/>
  <c r="K202" i="27"/>
  <c r="AC68" i="29"/>
  <c r="AC16" i="29"/>
  <c r="AF16" i="8"/>
  <c r="AP16" i="8"/>
  <c r="AG88" i="29"/>
  <c r="AG36" i="29"/>
  <c r="AF193" i="16"/>
  <c r="Z193" i="16"/>
  <c r="AL28" i="8"/>
  <c r="AJ28" i="8"/>
  <c r="N99" i="27"/>
  <c r="K99" i="27"/>
  <c r="AL23" i="9"/>
  <c r="AJ23" i="9"/>
  <c r="N75" i="27"/>
  <c r="K75" i="27"/>
  <c r="AF84" i="29"/>
  <c r="AF32" i="29"/>
  <c r="V11" i="31"/>
  <c r="N233" i="27"/>
  <c r="K233" i="27"/>
  <c r="AE109" i="17"/>
  <c r="Z109" i="17"/>
  <c r="AO38" i="8"/>
  <c r="AE38" i="8"/>
  <c r="AB38" i="29"/>
  <c r="AB90" i="29"/>
  <c r="AL8" i="9"/>
  <c r="AJ8" i="9"/>
  <c r="AG46" i="8"/>
  <c r="AK13" i="6"/>
  <c r="AK13" i="7"/>
  <c r="AG13" i="29"/>
  <c r="AG65" i="29"/>
  <c r="N82" i="27"/>
  <c r="K82" i="27"/>
  <c r="AO32" i="8"/>
  <c r="AE32" i="8"/>
  <c r="AB32" i="29"/>
  <c r="AB84" i="29"/>
  <c r="AF120" i="16"/>
  <c r="AF277" i="16"/>
  <c r="Z277" i="16"/>
  <c r="Y57" i="16"/>
  <c r="AE57" i="16"/>
  <c r="AD21" i="17"/>
  <c r="Y21" i="17"/>
  <c r="AK47" i="6"/>
  <c r="AK47" i="7"/>
  <c r="AG47" i="29"/>
  <c r="AG99" i="29"/>
  <c r="U10" i="34"/>
  <c r="AM26" i="7"/>
  <c r="R10" i="34"/>
  <c r="AF19" i="9"/>
  <c r="AP19" i="9"/>
  <c r="N32" i="29"/>
  <c r="N84" i="29"/>
  <c r="AK6" i="7"/>
  <c r="AG6" i="29"/>
  <c r="AG58" i="29"/>
  <c r="AF36" i="9"/>
  <c r="AP36" i="9"/>
  <c r="AG94" i="29"/>
  <c r="AG42" i="29"/>
  <c r="AE146" i="17"/>
  <c r="Z146" i="17"/>
  <c r="AE53" i="9"/>
  <c r="AO5" i="9"/>
  <c r="AE5" i="9"/>
  <c r="AG5" i="9"/>
  <c r="AM29" i="9"/>
  <c r="T29" i="9"/>
  <c r="N29" i="9"/>
  <c r="R24" i="34"/>
  <c r="AM40" i="7"/>
  <c r="U24" i="34"/>
  <c r="N146" i="27"/>
  <c r="K146" i="27"/>
  <c r="AG40" i="9"/>
  <c r="AE40" i="9"/>
  <c r="AO40" i="9"/>
  <c r="AC62" i="29"/>
  <c r="AC10" i="29"/>
  <c r="AF10" i="8"/>
  <c r="AP10" i="8"/>
  <c r="AF85" i="16"/>
  <c r="Z85" i="16"/>
  <c r="Z4" i="16"/>
  <c r="K4" i="27"/>
  <c r="N4" i="27"/>
  <c r="AL27" i="7"/>
  <c r="AE159" i="17"/>
  <c r="Z159" i="17"/>
  <c r="AE90" i="17"/>
  <c r="Z90" i="17"/>
  <c r="AA7" i="27"/>
  <c r="AF232" i="16"/>
  <c r="Z232" i="16"/>
  <c r="AG91" i="29"/>
  <c r="AG39" i="29"/>
  <c r="AJ17" i="7"/>
  <c r="AL17" i="7"/>
  <c r="R14" i="31"/>
  <c r="AO5" i="8"/>
  <c r="AE5" i="8"/>
  <c r="AB5" i="29"/>
  <c r="AB57" i="29"/>
  <c r="R9" i="31"/>
  <c r="R15" i="31"/>
  <c r="AE5" i="17"/>
  <c r="Z5" i="17"/>
  <c r="AF230" i="16"/>
  <c r="Z230" i="16"/>
  <c r="N23" i="8"/>
  <c r="T23" i="8"/>
  <c r="AM23" i="8"/>
  <c r="N229" i="27"/>
  <c r="K229" i="27"/>
  <c r="V14" i="31"/>
  <c r="AF5" i="29"/>
  <c r="AF57" i="29"/>
  <c r="V9" i="31"/>
  <c r="V15" i="31"/>
  <c r="Z160" i="16"/>
  <c r="AF160" i="16"/>
  <c r="AF30" i="9"/>
  <c r="AP30" i="9"/>
  <c r="AM28" i="7"/>
  <c r="AF9" i="9"/>
  <c r="AP9" i="9"/>
  <c r="AE165" i="17"/>
  <c r="Z165" i="17"/>
  <c r="AO45" i="9"/>
  <c r="AE45" i="9"/>
  <c r="AG45" i="9"/>
  <c r="Z12" i="16"/>
  <c r="AF12" i="16"/>
  <c r="AO46" i="8"/>
  <c r="AE46" i="8"/>
  <c r="AB46" i="29"/>
  <c r="AB98" i="29"/>
  <c r="Z40" i="16"/>
  <c r="AF40" i="16"/>
  <c r="AJ29" i="7"/>
  <c r="AL29" i="7"/>
  <c r="Z120" i="16"/>
  <c r="K120" i="27"/>
  <c r="N120" i="27"/>
  <c r="AL43" i="8"/>
  <c r="AJ43" i="8"/>
  <c r="AF103" i="16"/>
  <c r="Z103" i="16"/>
  <c r="AF100" i="29"/>
  <c r="AF48" i="29"/>
  <c r="AF105" i="16"/>
  <c r="Z105" i="16"/>
  <c r="AK39" i="9"/>
  <c r="AK39" i="6"/>
  <c r="AK39" i="7"/>
  <c r="AK39" i="8"/>
  <c r="AF192" i="16"/>
  <c r="Z192" i="16"/>
  <c r="AK20" i="9"/>
  <c r="AK20" i="6"/>
  <c r="AK20" i="7"/>
  <c r="AK20" i="8"/>
  <c r="AF229" i="16"/>
  <c r="Z229" i="16"/>
  <c r="N231" i="27"/>
  <c r="K231" i="27"/>
  <c r="AL41" i="9"/>
  <c r="AJ41" i="9"/>
  <c r="N213" i="27"/>
  <c r="K213" i="27"/>
  <c r="AK42" i="8"/>
  <c r="AK42" i="6"/>
  <c r="AK42" i="7"/>
  <c r="AK42" i="9"/>
  <c r="AE88" i="16"/>
  <c r="Y88" i="16"/>
  <c r="AJ27" i="6"/>
  <c r="AJ27" i="7"/>
  <c r="AJ27" i="8"/>
  <c r="AL27" i="8"/>
  <c r="N34" i="9"/>
  <c r="T34" i="9"/>
  <c r="AM34" i="9"/>
  <c r="U33" i="34"/>
  <c r="AM51" i="7"/>
  <c r="R33" i="34"/>
  <c r="AL30" i="8"/>
  <c r="AJ30" i="8"/>
  <c r="AL5" i="7"/>
  <c r="AE89" i="17"/>
  <c r="Z89" i="17"/>
  <c r="AE20" i="16"/>
  <c r="N168" i="27"/>
  <c r="K168" i="27"/>
  <c r="N174" i="27"/>
  <c r="K174" i="27"/>
  <c r="Z146" i="16"/>
  <c r="AF146" i="16"/>
  <c r="N118" i="27"/>
  <c r="K118" i="27"/>
  <c r="AE132" i="17"/>
  <c r="Z132" i="17"/>
  <c r="Z161" i="16"/>
  <c r="AF161" i="16"/>
  <c r="Z118" i="16"/>
  <c r="AF118" i="16"/>
  <c r="Z67" i="16"/>
  <c r="AF67" i="16"/>
  <c r="AF93" i="29"/>
  <c r="AF41" i="29"/>
  <c r="N222" i="27"/>
  <c r="K222" i="27"/>
  <c r="AL53" i="8"/>
  <c r="AE28" i="17"/>
  <c r="Z28" i="17"/>
  <c r="N85" i="27"/>
  <c r="K85" i="27"/>
  <c r="AE134" i="17"/>
  <c r="Z134" i="17"/>
  <c r="N42" i="9"/>
  <c r="T42" i="9"/>
  <c r="AM42" i="9"/>
  <c r="AE97" i="16"/>
  <c r="Y97" i="16"/>
  <c r="AK2" i="16"/>
  <c r="AK7" i="16"/>
  <c r="AL7" i="16"/>
  <c r="N205" i="27"/>
  <c r="K205" i="27"/>
  <c r="AO23" i="9"/>
  <c r="AE23" i="9"/>
  <c r="AG23" i="9"/>
  <c r="AF222" i="16"/>
  <c r="Z222" i="16"/>
  <c r="Y58" i="16"/>
  <c r="AE58" i="16"/>
  <c r="AE104" i="17"/>
  <c r="Z104" i="17"/>
  <c r="N99" i="29"/>
  <c r="N47" i="29"/>
  <c r="AF240" i="16"/>
  <c r="Z240" i="16"/>
  <c r="S13" i="31"/>
  <c r="S7" i="31"/>
  <c r="AF275" i="16"/>
  <c r="AV4" i="16"/>
  <c r="AU4" i="16"/>
  <c r="AL31" i="7"/>
  <c r="N78" i="29"/>
  <c r="N26" i="29"/>
  <c r="AF287" i="16"/>
  <c r="Z287" i="16"/>
  <c r="AF228" i="16"/>
  <c r="Z228" i="16"/>
  <c r="AE155" i="17"/>
  <c r="Z155" i="17"/>
  <c r="M25" i="27"/>
  <c r="J25" i="27"/>
  <c r="AE84" i="17"/>
  <c r="Z84" i="17"/>
  <c r="AL4" i="16"/>
  <c r="AK4" i="16"/>
  <c r="Z275" i="16"/>
  <c r="K275" i="27"/>
  <c r="N275" i="27"/>
  <c r="AB11" i="27"/>
  <c r="AJ31" i="7"/>
  <c r="AJ31" i="9"/>
  <c r="AL31" i="9"/>
  <c r="AF279" i="16"/>
  <c r="Z279" i="16"/>
  <c r="N35" i="27"/>
  <c r="K35" i="27"/>
  <c r="AB87" i="29"/>
  <c r="AB35" i="29"/>
  <c r="F49" i="5"/>
  <c r="F48" i="5"/>
  <c r="AM53" i="9"/>
  <c r="AL46" i="9"/>
  <c r="AJ46" i="9"/>
  <c r="AC95" i="29"/>
  <c r="AC43" i="29"/>
  <c r="AF43" i="8"/>
  <c r="AP43" i="8"/>
  <c r="AF246" i="16"/>
  <c r="Z246" i="16"/>
  <c r="AE161" i="17"/>
  <c r="Z161" i="17"/>
  <c r="N20" i="9"/>
  <c r="T20" i="9"/>
  <c r="AM20" i="9"/>
  <c r="AL45" i="7"/>
  <c r="AG53" i="9"/>
  <c r="Z46" i="16"/>
  <c r="AF46" i="16"/>
  <c r="N9" i="27"/>
  <c r="K9" i="27"/>
  <c r="AL40" i="8"/>
  <c r="AJ40" i="8"/>
  <c r="N262" i="27"/>
  <c r="K262" i="27"/>
  <c r="M23" i="27"/>
  <c r="J23" i="27"/>
  <c r="AJ7" i="27"/>
  <c r="V7" i="27"/>
  <c r="N2" i="27"/>
  <c r="N93" i="29"/>
  <c r="N41" i="29"/>
  <c r="N101" i="29"/>
  <c r="N49" i="29"/>
  <c r="AF259" i="16"/>
  <c r="T29" i="7"/>
  <c r="AO29" i="8"/>
  <c r="AE29" i="8"/>
  <c r="AB29" i="29"/>
  <c r="AB81" i="29"/>
  <c r="Y20" i="16"/>
  <c r="J20" i="27"/>
  <c r="M20" i="27"/>
  <c r="AF39" i="16"/>
  <c r="N42" i="27"/>
  <c r="K42" i="27"/>
  <c r="AF239" i="16"/>
  <c r="Z239" i="16"/>
  <c r="AO15" i="8"/>
  <c r="AE15" i="8"/>
  <c r="AG15" i="8"/>
  <c r="M16" i="27"/>
  <c r="J16" i="27"/>
  <c r="AG31" i="9"/>
  <c r="AE31" i="9"/>
  <c r="AO31" i="9"/>
  <c r="AF252" i="16"/>
  <c r="AK5" i="16"/>
  <c r="AL5" i="16"/>
  <c r="AD20" i="17"/>
  <c r="Y20" i="17"/>
  <c r="AB75" i="29"/>
  <c r="AB23" i="29"/>
  <c r="AF10" i="16"/>
  <c r="AE7" i="27"/>
  <c r="AE2" i="17"/>
  <c r="Z2" i="17"/>
  <c r="AF274" i="16"/>
  <c r="N157" i="27"/>
  <c r="K157" i="27"/>
  <c r="AL40" i="7"/>
  <c r="N130" i="27"/>
  <c r="K130" i="27"/>
  <c r="AE151" i="17"/>
  <c r="Z151" i="17"/>
  <c r="N11" i="9"/>
  <c r="T11" i="9"/>
  <c r="AM11" i="9"/>
  <c r="Z268" i="16"/>
  <c r="K268" i="27"/>
  <c r="N268" i="27"/>
  <c r="AF226" i="16"/>
  <c r="Z226" i="16"/>
  <c r="AC92" i="29"/>
  <c r="AC40" i="29"/>
  <c r="AF40" i="8"/>
  <c r="N40" i="6"/>
  <c r="N40" i="7"/>
  <c r="T40" i="7"/>
  <c r="AP40" i="8"/>
  <c r="AO43" i="9"/>
  <c r="AE43" i="9"/>
  <c r="AG43" i="9"/>
  <c r="AJ45" i="7"/>
  <c r="AF45" i="29"/>
  <c r="AF97" i="29"/>
  <c r="N294" i="27"/>
  <c r="K294" i="27"/>
  <c r="AL23" i="8"/>
  <c r="AJ23" i="8"/>
  <c r="X11" i="31"/>
  <c r="D11" i="31"/>
  <c r="Z9" i="16"/>
  <c r="AF9" i="16"/>
  <c r="AF77" i="16"/>
  <c r="Z77" i="16"/>
  <c r="AM22" i="8"/>
  <c r="T22" i="8"/>
  <c r="N22" i="8"/>
  <c r="AJ5" i="8"/>
  <c r="AL5" i="8"/>
  <c r="AJ53" i="8"/>
  <c r="N77" i="27"/>
  <c r="K77" i="27"/>
  <c r="AG26" i="8"/>
  <c r="Z259" i="16"/>
  <c r="K259" i="27"/>
  <c r="N259" i="27"/>
  <c r="N199" i="27"/>
  <c r="K199" i="27"/>
  <c r="AP11" i="8"/>
  <c r="AF11" i="8"/>
  <c r="AC11" i="29"/>
  <c r="AC63" i="29"/>
  <c r="AG31" i="8"/>
  <c r="N223" i="27"/>
  <c r="K223" i="27"/>
  <c r="N42" i="8"/>
  <c r="T42" i="8"/>
  <c r="AM42" i="8"/>
  <c r="AE96" i="17"/>
  <c r="Z96" i="17"/>
  <c r="AL28" i="9"/>
  <c r="AJ28" i="9"/>
  <c r="Z10" i="16"/>
  <c r="K10" i="27"/>
  <c r="N10" i="27"/>
  <c r="AM10" i="9"/>
  <c r="T10" i="9"/>
  <c r="N10" i="9"/>
  <c r="Z274" i="16"/>
  <c r="K274" i="27"/>
  <c r="N274" i="27"/>
  <c r="AJ5" i="7"/>
  <c r="AJ5" i="9"/>
  <c r="AL5" i="9"/>
  <c r="AJ53" i="9"/>
  <c r="AO8" i="9"/>
  <c r="AE8" i="9"/>
  <c r="AG8" i="9"/>
  <c r="AL38" i="9"/>
  <c r="AJ38" i="9"/>
  <c r="AK22" i="6"/>
  <c r="AK22" i="7"/>
  <c r="AG22" i="29"/>
  <c r="AG74" i="29"/>
  <c r="AO28" i="9"/>
  <c r="AE28" i="9"/>
  <c r="AG28" i="9"/>
  <c r="AF106" i="16"/>
  <c r="Z106" i="16"/>
  <c r="AJ35" i="7"/>
  <c r="AL35" i="7"/>
  <c r="Z64" i="16"/>
  <c r="AF64" i="16"/>
  <c r="AJ41" i="7"/>
  <c r="AL41" i="7"/>
  <c r="U19" i="34"/>
  <c r="AM36" i="7"/>
  <c r="R19" i="34"/>
  <c r="I5" i="34"/>
  <c r="F5" i="34"/>
  <c r="I6" i="34"/>
  <c r="AM7" i="7"/>
  <c r="F6" i="34"/>
  <c r="AF238" i="16"/>
  <c r="Z238" i="16"/>
  <c r="Z133" i="16"/>
  <c r="AF133" i="16"/>
  <c r="AF211" i="16"/>
  <c r="Z211" i="16"/>
  <c r="AF237" i="16"/>
  <c r="Z237" i="16"/>
  <c r="N15" i="8"/>
  <c r="T15" i="8"/>
  <c r="AM15" i="8"/>
  <c r="AF191" i="16"/>
  <c r="Z191" i="16"/>
  <c r="AG20" i="9"/>
  <c r="AE20" i="9"/>
  <c r="AO20" i="9"/>
  <c r="AF174" i="16"/>
  <c r="Z174" i="16"/>
  <c r="AF209" i="16"/>
  <c r="Z209" i="16"/>
  <c r="AF43" i="9"/>
  <c r="AP43" i="9"/>
  <c r="AL24" i="7"/>
  <c r="N63" i="27"/>
  <c r="K63" i="27"/>
  <c r="AE94" i="17"/>
  <c r="Z94" i="17"/>
  <c r="N26" i="6"/>
  <c r="N26" i="7"/>
  <c r="T26" i="7"/>
  <c r="AO26" i="8"/>
  <c r="AE26" i="8"/>
  <c r="AB26" i="29"/>
  <c r="AB78" i="29"/>
  <c r="AG33" i="8"/>
  <c r="Y23" i="16"/>
  <c r="AE23" i="16"/>
  <c r="AE4" i="17"/>
  <c r="Z4" i="17"/>
  <c r="AO31" i="8"/>
  <c r="AE31" i="8"/>
  <c r="AB31" i="29"/>
  <c r="AB83" i="29"/>
  <c r="AP55" i="8"/>
  <c r="AP53" i="8"/>
  <c r="AM44" i="9"/>
  <c r="T44" i="9"/>
  <c r="N44" i="9"/>
  <c r="AF195" i="16"/>
  <c r="Z195" i="16"/>
  <c r="AF207" i="16"/>
  <c r="Z207" i="16"/>
  <c r="X13" i="31"/>
  <c r="X7" i="31"/>
  <c r="AL10" i="7"/>
  <c r="Y16" i="16"/>
  <c r="AE16" i="16"/>
  <c r="AE149" i="17"/>
  <c r="Z149" i="17"/>
  <c r="AF284" i="16"/>
  <c r="Z284" i="16"/>
  <c r="N34" i="6"/>
  <c r="N34" i="7"/>
  <c r="N34" i="29"/>
  <c r="N86" i="29"/>
  <c r="AO53" i="8"/>
  <c r="AO55" i="8"/>
  <c r="AP15" i="8"/>
  <c r="AF15" i="8"/>
  <c r="AC15" i="29"/>
  <c r="AC67" i="29"/>
  <c r="AE48" i="17"/>
  <c r="Z48" i="17"/>
  <c r="N38" i="9"/>
  <c r="T38" i="9"/>
  <c r="AM38" i="9"/>
  <c r="AM24" i="9"/>
  <c r="N24" i="9"/>
  <c r="T24" i="9"/>
  <c r="AL43" i="7"/>
  <c r="AF183" i="16"/>
  <c r="Z183" i="16"/>
  <c r="AJ24" i="7"/>
  <c r="AJ24" i="9"/>
  <c r="AL24" i="9"/>
  <c r="Z294" i="16"/>
  <c r="AF294" i="16"/>
  <c r="AF125" i="16"/>
  <c r="AO33" i="8"/>
  <c r="AE33" i="8"/>
  <c r="AB33" i="29"/>
  <c r="AB85" i="29"/>
  <c r="AF167" i="16"/>
  <c r="AK10" i="9"/>
  <c r="AK10" i="8"/>
  <c r="AE100" i="17"/>
  <c r="Z100" i="17"/>
  <c r="N6" i="9"/>
  <c r="T6" i="9"/>
  <c r="AM6" i="9"/>
  <c r="N83" i="29"/>
  <c r="N31" i="29"/>
  <c r="AD51" i="17"/>
  <c r="Y51" i="17"/>
  <c r="AV7" i="16"/>
  <c r="AU7" i="16"/>
  <c r="AG12" i="9"/>
  <c r="AO12" i="9"/>
  <c r="AE12" i="9"/>
  <c r="AF266" i="16"/>
  <c r="AM16" i="8"/>
  <c r="T16" i="8"/>
  <c r="N16" i="8"/>
  <c r="AF50" i="9"/>
  <c r="AP50" i="9"/>
  <c r="N24" i="29"/>
  <c r="N76" i="29"/>
  <c r="T53" i="9"/>
  <c r="AM5" i="9"/>
  <c r="T5" i="9"/>
  <c r="N5" i="9"/>
  <c r="AL50" i="7"/>
  <c r="N105" i="27"/>
  <c r="K105" i="27"/>
  <c r="Y15" i="16"/>
  <c r="AE15" i="16"/>
  <c r="T16" i="7"/>
  <c r="AO16" i="8"/>
  <c r="AE16" i="8"/>
  <c r="AG16" i="8"/>
  <c r="AF241" i="16"/>
  <c r="Z241" i="16"/>
  <c r="AK36" i="8"/>
  <c r="AK36" i="6"/>
  <c r="AK36" i="7"/>
  <c r="AK36" i="9"/>
  <c r="AJ43" i="7"/>
  <c r="AF43" i="29"/>
  <c r="AF95" i="29"/>
  <c r="N183" i="27"/>
  <c r="K183" i="27"/>
  <c r="N14" i="9"/>
  <c r="T14" i="9"/>
  <c r="AM14" i="9"/>
  <c r="AD53" i="17"/>
  <c r="Y53" i="17"/>
  <c r="M60" i="27"/>
  <c r="J60" i="27"/>
  <c r="Z125" i="16"/>
  <c r="K125" i="27"/>
  <c r="N125" i="27"/>
  <c r="AE27" i="17"/>
  <c r="Z27" i="17"/>
  <c r="AE102" i="17"/>
  <c r="Z102" i="17"/>
  <c r="Z262" i="16"/>
  <c r="AF262" i="16"/>
  <c r="AE126" i="17"/>
  <c r="Z126" i="17"/>
  <c r="AJ49" i="7"/>
  <c r="AL49" i="7"/>
  <c r="AK10" i="7"/>
  <c r="AG10" i="29"/>
  <c r="AG62" i="29"/>
  <c r="Z66" i="16"/>
  <c r="AF66" i="16"/>
  <c r="N28" i="6"/>
  <c r="N28" i="7"/>
  <c r="T28" i="7"/>
  <c r="AO28" i="8"/>
  <c r="AE28" i="8"/>
  <c r="AG28" i="8"/>
  <c r="N241" i="27"/>
  <c r="K241" i="27"/>
  <c r="AE119" i="17"/>
  <c r="Z119" i="17"/>
  <c r="AF51" i="9"/>
  <c r="AP51" i="9"/>
  <c r="Z266" i="16"/>
  <c r="K266" i="27"/>
  <c r="N266" i="27"/>
  <c r="Z168" i="16"/>
  <c r="AF168" i="16"/>
  <c r="N134" i="27"/>
  <c r="K134" i="27"/>
  <c r="N53" i="8"/>
  <c r="AM7" i="8"/>
  <c r="T7" i="8"/>
  <c r="N7" i="8"/>
  <c r="AE34" i="17"/>
  <c r="Z34" i="17"/>
  <c r="AC59" i="29"/>
  <c r="AC7" i="29"/>
  <c r="AF7" i="8"/>
  <c r="AP7" i="8"/>
  <c r="M88" i="27"/>
  <c r="J88" i="27"/>
  <c r="N143" i="27"/>
  <c r="K143" i="27"/>
  <c r="AC84" i="29"/>
  <c r="AC32" i="29"/>
  <c r="AF32" i="8"/>
  <c r="N32" i="6"/>
  <c r="N32" i="7"/>
  <c r="T32" i="7"/>
  <c r="AP32" i="8"/>
  <c r="M51" i="27"/>
  <c r="J51" i="27"/>
  <c r="L63" i="6"/>
  <c r="AJ50" i="7"/>
  <c r="AJ50" i="9"/>
  <c r="AL50" i="9"/>
  <c r="AE36" i="17"/>
  <c r="Z36" i="17"/>
  <c r="N17" i="9"/>
  <c r="T17" i="9"/>
  <c r="AM17" i="9"/>
  <c r="AP13" i="9"/>
  <c r="AF13" i="9"/>
  <c r="W11" i="31"/>
  <c r="R13" i="34"/>
  <c r="T31" i="7"/>
  <c r="AM31" i="7"/>
  <c r="U13" i="34"/>
  <c r="AE79" i="17"/>
  <c r="Z79" i="17"/>
  <c r="N53" i="7"/>
  <c r="N58" i="7"/>
  <c r="Z65" i="16"/>
  <c r="AF65" i="16"/>
  <c r="AE91" i="16"/>
  <c r="Y91" i="16"/>
  <c r="AE41" i="17"/>
  <c r="Z41" i="17"/>
  <c r="N141" i="27"/>
  <c r="K141" i="27"/>
  <c r="AM37" i="7"/>
  <c r="AK37" i="9"/>
  <c r="AK37" i="8"/>
  <c r="AC97" i="29"/>
  <c r="AC45" i="29"/>
  <c r="AF45" i="8"/>
  <c r="T45" i="7"/>
  <c r="AP45" i="8"/>
  <c r="N132" i="27"/>
  <c r="K132" i="27"/>
  <c r="AL25" i="7"/>
  <c r="N5" i="8"/>
  <c r="T5" i="8"/>
  <c r="AM5" i="8"/>
  <c r="T53" i="8"/>
  <c r="Z35" i="16"/>
  <c r="AF35" i="16"/>
  <c r="AO10" i="9"/>
  <c r="AE10" i="9"/>
  <c r="AG10" i="9"/>
  <c r="Q34" i="34"/>
  <c r="N15" i="7"/>
  <c r="T15" i="7"/>
  <c r="AM15" i="7"/>
  <c r="T34" i="34"/>
  <c r="AE131" i="17"/>
  <c r="Z131" i="17"/>
  <c r="AE38" i="17"/>
  <c r="Z38" i="17"/>
  <c r="N152" i="27"/>
  <c r="K152" i="27"/>
  <c r="N16" i="7"/>
  <c r="N16" i="29"/>
  <c r="N68" i="29"/>
  <c r="AF219" i="16"/>
  <c r="Z219" i="16"/>
  <c r="AK5" i="7"/>
  <c r="AG5" i="29"/>
  <c r="AG57" i="29"/>
  <c r="W7" i="31"/>
  <c r="W13" i="31"/>
  <c r="T17" i="7"/>
  <c r="AP17" i="9"/>
  <c r="AF17" i="9"/>
  <c r="AM48" i="8"/>
  <c r="T48" i="8"/>
  <c r="N48" i="8"/>
  <c r="AL28" i="7"/>
  <c r="AF74" i="29"/>
  <c r="AF22" i="29"/>
  <c r="AL19" i="8"/>
  <c r="AJ19" i="8"/>
  <c r="AF47" i="9"/>
  <c r="AP47" i="9"/>
  <c r="AF48" i="16"/>
  <c r="AE10" i="17"/>
  <c r="Z10" i="17"/>
  <c r="AF59" i="29"/>
  <c r="AF7" i="29"/>
  <c r="AE93" i="16"/>
  <c r="Y93" i="16"/>
  <c r="AF88" i="29"/>
  <c r="AF36" i="29"/>
  <c r="N216" i="27"/>
  <c r="K216" i="27"/>
  <c r="N138" i="27"/>
  <c r="K138" i="27"/>
  <c r="AF136" i="16"/>
  <c r="AF180" i="16"/>
  <c r="Z180" i="16"/>
  <c r="N193" i="27"/>
  <c r="K193" i="27"/>
  <c r="AJ28" i="6"/>
  <c r="AJ28" i="7"/>
  <c r="AF28" i="29"/>
  <c r="AF80" i="29"/>
  <c r="AG25" i="8"/>
  <c r="AL9" i="16"/>
  <c r="AK9" i="16"/>
  <c r="N47" i="9"/>
  <c r="T47" i="9"/>
  <c r="AM47" i="9"/>
  <c r="AL34" i="7"/>
  <c r="T53" i="7"/>
  <c r="AC70" i="29"/>
  <c r="AC18" i="29"/>
  <c r="AF18" i="8"/>
  <c r="AP18" i="8"/>
  <c r="AJ10" i="7"/>
  <c r="AF10" i="29"/>
  <c r="AF62" i="29"/>
  <c r="AK49" i="9"/>
  <c r="AK49" i="6"/>
  <c r="AK49" i="7"/>
  <c r="AK49" i="8"/>
  <c r="AK18" i="9"/>
  <c r="AK18" i="8"/>
  <c r="AL16" i="7"/>
  <c r="AO23" i="8"/>
  <c r="AE23" i="8"/>
  <c r="AG23" i="8"/>
  <c r="AE21" i="16"/>
  <c r="AF173" i="16"/>
  <c r="Z173" i="16"/>
  <c r="N214" i="27"/>
  <c r="K214" i="27"/>
  <c r="Z157" i="16"/>
  <c r="AF157" i="16"/>
  <c r="AF75" i="29"/>
  <c r="AF23" i="29"/>
  <c r="N172" i="27"/>
  <c r="K172" i="27"/>
  <c r="AJ40" i="6"/>
  <c r="AJ40" i="7"/>
  <c r="AJ40" i="9"/>
  <c r="AL40" i="9"/>
  <c r="M91" i="27"/>
  <c r="J91" i="27"/>
  <c r="AE9" i="17"/>
  <c r="Z9" i="17"/>
  <c r="AF264" i="16"/>
  <c r="AE110" i="17"/>
  <c r="Z110" i="17"/>
  <c r="AG24" i="9"/>
  <c r="AE24" i="9"/>
  <c r="AO24" i="9"/>
  <c r="AL18" i="7"/>
  <c r="AL39" i="9"/>
  <c r="AJ39" i="9"/>
  <c r="AE12" i="17"/>
  <c r="Z12" i="17"/>
  <c r="N38" i="27"/>
  <c r="K38" i="27"/>
  <c r="AL6" i="16"/>
  <c r="AK6" i="16"/>
  <c r="AF48" i="9"/>
  <c r="AP48" i="9"/>
  <c r="AF221" i="16"/>
  <c r="Z221" i="16"/>
  <c r="AJ8" i="7"/>
  <c r="AL8" i="7"/>
  <c r="AK7" i="8"/>
  <c r="AK7" i="7"/>
  <c r="AK7" i="9"/>
  <c r="AP20" i="9"/>
  <c r="AF20" i="9"/>
  <c r="Y60" i="16"/>
  <c r="AE60" i="16"/>
  <c r="AE87" i="17"/>
  <c r="Z87" i="17"/>
  <c r="Z63" i="16"/>
  <c r="AF63" i="16"/>
  <c r="AE154" i="17"/>
  <c r="Z154" i="17"/>
  <c r="AJ11" i="7"/>
  <c r="AJ11" i="9"/>
  <c r="AL11" i="9"/>
  <c r="Z167" i="16"/>
  <c r="K167" i="27"/>
  <c r="N167" i="27"/>
  <c r="AF6" i="9"/>
  <c r="AP6" i="9"/>
  <c r="AF197" i="16"/>
  <c r="Z197" i="16"/>
  <c r="Z39" i="16"/>
  <c r="K39" i="27"/>
  <c r="N39" i="27"/>
  <c r="Z42" i="16"/>
  <c r="AF42" i="16"/>
  <c r="AJ23" i="7"/>
  <c r="AL23" i="7"/>
  <c r="N175" i="27"/>
  <c r="K175" i="27"/>
  <c r="N78" i="27"/>
  <c r="K78" i="27"/>
  <c r="AE85" i="17"/>
  <c r="Z85" i="17"/>
  <c r="I14" i="34"/>
  <c r="AM14" i="7"/>
  <c r="F14" i="34"/>
  <c r="AF215" i="16"/>
  <c r="Z215" i="16"/>
  <c r="AK9" i="8"/>
  <c r="AK9" i="9"/>
  <c r="N182" i="27"/>
  <c r="K182" i="27"/>
  <c r="N61" i="29"/>
  <c r="N9" i="29"/>
  <c r="N38" i="6"/>
  <c r="N38" i="7"/>
  <c r="T38" i="7"/>
  <c r="AO38" i="9"/>
  <c r="AE38" i="9"/>
  <c r="AG38" i="9"/>
  <c r="U15" i="34"/>
  <c r="R25" i="34"/>
  <c r="R15" i="34"/>
  <c r="U20" i="34"/>
  <c r="U25" i="34"/>
  <c r="AM42" i="7"/>
  <c r="R20" i="34"/>
  <c r="N176" i="27"/>
  <c r="K176" i="27"/>
  <c r="AF171" i="16"/>
  <c r="Z171" i="16"/>
  <c r="AJ16" i="7"/>
  <c r="AF16" i="29"/>
  <c r="AF68" i="29"/>
  <c r="AL44" i="7"/>
  <c r="Y21" i="16"/>
  <c r="J21" i="27"/>
  <c r="M21" i="27"/>
  <c r="L68" i="6"/>
  <c r="AC65" i="29"/>
  <c r="AC13" i="29"/>
  <c r="T13" i="7"/>
  <c r="AP13" i="8"/>
  <c r="AF13" i="8"/>
  <c r="Z148" i="16"/>
  <c r="AF148" i="16"/>
  <c r="AF254" i="16"/>
  <c r="AD19" i="17"/>
  <c r="Y19" i="17"/>
  <c r="Z132" i="16"/>
  <c r="AF132" i="16"/>
  <c r="AE120" i="17"/>
  <c r="Z120" i="17"/>
  <c r="AG41" i="8"/>
  <c r="AE80" i="17"/>
  <c r="Z80" i="17"/>
  <c r="Z152" i="16"/>
  <c r="AF152" i="16"/>
  <c r="Z264" i="16"/>
  <c r="K264" i="27"/>
  <c r="N264" i="27"/>
  <c r="AF236" i="16"/>
  <c r="Z236" i="16"/>
  <c r="AF300" i="16"/>
  <c r="N162" i="27"/>
  <c r="K162" i="27"/>
  <c r="AK7" i="6"/>
  <c r="AK55" i="6"/>
  <c r="AK60" i="6"/>
  <c r="AK9" i="7"/>
  <c r="AG9" i="29"/>
  <c r="AG61" i="29"/>
  <c r="AJ18" i="7"/>
  <c r="AJ18" i="8"/>
  <c r="AL18" i="8"/>
  <c r="Z252" i="16"/>
  <c r="K252" i="27"/>
  <c r="S11" i="27"/>
  <c r="Y11" i="27"/>
  <c r="AG11" i="27"/>
  <c r="AE128" i="17"/>
  <c r="Z128" i="17"/>
  <c r="AL22" i="7"/>
  <c r="AL26" i="7"/>
  <c r="AF242" i="16"/>
  <c r="Z242" i="16"/>
  <c r="AJ44" i="7"/>
  <c r="AJ44" i="9"/>
  <c r="AL44" i="9"/>
  <c r="N6" i="8"/>
  <c r="T6" i="8"/>
  <c r="AM6" i="8"/>
  <c r="AF190" i="16"/>
  <c r="Z190" i="16"/>
  <c r="R6" i="34"/>
  <c r="U6" i="34"/>
  <c r="R29" i="34"/>
  <c r="AJ47" i="6"/>
  <c r="N47" i="6"/>
  <c r="N47" i="7"/>
  <c r="T47" i="7"/>
  <c r="AM47" i="7"/>
  <c r="U29" i="34"/>
  <c r="N298" i="27"/>
  <c r="K298" i="27"/>
  <c r="AE94" i="16"/>
  <c r="Y94" i="16"/>
  <c r="AB58" i="29"/>
  <c r="AB6" i="29"/>
  <c r="AE82" i="17"/>
  <c r="Z82" i="17"/>
  <c r="N102" i="29"/>
  <c r="N50" i="29"/>
  <c r="N50" i="9"/>
  <c r="T50" i="9"/>
  <c r="AM50" i="9"/>
  <c r="AB100" i="29"/>
  <c r="AB48" i="29"/>
  <c r="AF176" i="16"/>
  <c r="Z176" i="16"/>
  <c r="AL6" i="8"/>
  <c r="AJ6" i="8"/>
  <c r="AG102" i="29"/>
  <c r="AG50" i="29"/>
  <c r="AL36" i="9"/>
  <c r="AJ36" i="9"/>
  <c r="AE10" i="27"/>
  <c r="Z129" i="17"/>
  <c r="AE129" i="17"/>
  <c r="AJ6" i="17"/>
  <c r="N45" i="6"/>
  <c r="N45" i="7"/>
  <c r="N45" i="8"/>
  <c r="T45" i="8"/>
  <c r="AM45" i="8"/>
  <c r="N35" i="29"/>
  <c r="N87" i="29"/>
  <c r="N281" i="27"/>
  <c r="K281" i="27"/>
  <c r="AF208" i="16"/>
  <c r="Z208" i="16"/>
  <c r="AF286" i="16"/>
  <c r="Z286" i="16"/>
  <c r="AE68" i="17"/>
  <c r="Z68" i="17"/>
  <c r="Z298" i="16"/>
  <c r="AF298" i="16"/>
  <c r="AF256" i="16"/>
  <c r="U28" i="34"/>
  <c r="AM46" i="7"/>
  <c r="R28" i="34"/>
  <c r="AO48" i="8"/>
  <c r="AE48" i="8"/>
  <c r="AG48" i="8"/>
  <c r="N5" i="29"/>
  <c r="N57" i="29"/>
  <c r="D7" i="31"/>
  <c r="D13" i="31"/>
  <c r="AG22" i="8"/>
  <c r="AL32" i="9"/>
  <c r="AJ32" i="9"/>
  <c r="AC103" i="29"/>
  <c r="AC51" i="29"/>
  <c r="AP51" i="8"/>
  <c r="AF51" i="8"/>
  <c r="AF121" i="16"/>
  <c r="AE127" i="17"/>
  <c r="Z127" i="17"/>
  <c r="T49" i="7"/>
  <c r="AP49" i="9"/>
  <c r="AF49" i="9"/>
  <c r="N227" i="27"/>
  <c r="K227" i="27"/>
  <c r="AM41" i="7"/>
  <c r="N276" i="27"/>
  <c r="K276" i="27"/>
  <c r="AC73" i="29"/>
  <c r="AP21" i="8"/>
  <c r="AF21" i="8"/>
  <c r="AC21" i="29"/>
  <c r="Z136" i="16"/>
  <c r="K136" i="27"/>
  <c r="N136" i="27"/>
  <c r="AD58" i="17"/>
  <c r="Y58" i="17"/>
  <c r="AF272" i="16"/>
  <c r="AJ29" i="6"/>
  <c r="N29" i="6"/>
  <c r="N29" i="7"/>
  <c r="N29" i="8"/>
  <c r="T29" i="8"/>
  <c r="AM29" i="8"/>
  <c r="N13" i="6"/>
  <c r="N13" i="7"/>
  <c r="N13" i="29"/>
  <c r="N65" i="29"/>
  <c r="AE69" i="17"/>
  <c r="Z69" i="17"/>
  <c r="AF43" i="16"/>
  <c r="AO25" i="8"/>
  <c r="AE25" i="8"/>
  <c r="AB25" i="29"/>
  <c r="AB77" i="29"/>
  <c r="AF233" i="16"/>
  <c r="Z233" i="16"/>
  <c r="AK26" i="9"/>
  <c r="AK26" i="8"/>
  <c r="AF70" i="16"/>
  <c r="AF13" i="16"/>
  <c r="AF223" i="16"/>
  <c r="Z223" i="16"/>
  <c r="AF282" i="16"/>
  <c r="Z282" i="16"/>
  <c r="AO22" i="8"/>
  <c r="AE22" i="8"/>
  <c r="AB22" i="29"/>
  <c r="AB74" i="29"/>
  <c r="AL42" i="7"/>
  <c r="AL15" i="7"/>
  <c r="AL30" i="7"/>
  <c r="Y14" i="16"/>
  <c r="AE14" i="16"/>
  <c r="AU2" i="16"/>
  <c r="AV2" i="16"/>
  <c r="AF53" i="8"/>
  <c r="AD24" i="17"/>
  <c r="Y24" i="17"/>
  <c r="AL20" i="7"/>
  <c r="N18" i="29"/>
  <c r="N70" i="29"/>
  <c r="Z43" i="16"/>
  <c r="K43" i="27"/>
  <c r="N43" i="27"/>
  <c r="Z121" i="16"/>
  <c r="K121" i="27"/>
  <c r="N121" i="27"/>
  <c r="AK37" i="6"/>
  <c r="AK37" i="7"/>
  <c r="AG37" i="29"/>
  <c r="AG89" i="29"/>
  <c r="AK18" i="6"/>
  <c r="AK18" i="7"/>
  <c r="AG18" i="29"/>
  <c r="AG70" i="29"/>
  <c r="AJ34" i="6"/>
  <c r="AJ34" i="7"/>
  <c r="AJ34" i="8"/>
  <c r="AL34" i="8"/>
  <c r="AJ22" i="7"/>
  <c r="AJ22" i="8"/>
  <c r="AL22" i="8"/>
  <c r="AD55" i="17"/>
  <c r="Y55" i="17"/>
  <c r="T41" i="7"/>
  <c r="AO41" i="8"/>
  <c r="AE41" i="8"/>
  <c r="AB41" i="29"/>
  <c r="AB93" i="29"/>
  <c r="AJ26" i="7"/>
  <c r="AJ26" i="8"/>
  <c r="AL26" i="8"/>
  <c r="AF82" i="16"/>
  <c r="Z82" i="16"/>
  <c r="AL12" i="7"/>
  <c r="N173" i="27"/>
  <c r="K173" i="27"/>
  <c r="AF285" i="16"/>
  <c r="Z285" i="16"/>
  <c r="AJ25" i="7"/>
  <c r="AF25" i="29"/>
  <c r="AF77" i="29"/>
  <c r="Z74" i="17"/>
  <c r="AE74" i="17"/>
  <c r="AE9" i="27"/>
  <c r="N246" i="27"/>
  <c r="K246" i="27"/>
  <c r="N36" i="8"/>
  <c r="T36" i="8"/>
  <c r="AM36" i="8"/>
  <c r="M22" i="27"/>
  <c r="J22" i="27"/>
  <c r="Z37" i="16"/>
  <c r="AF37" i="16"/>
  <c r="AJ35" i="6"/>
  <c r="N35" i="6"/>
  <c r="N35" i="7"/>
  <c r="T35" i="7"/>
  <c r="AO35" i="8"/>
  <c r="AE35" i="8"/>
  <c r="AG35" i="8"/>
  <c r="Z254" i="16"/>
  <c r="K254" i="27"/>
  <c r="N254" i="27"/>
  <c r="E8" i="34"/>
  <c r="E6" i="34"/>
  <c r="H6" i="34"/>
  <c r="AM6" i="7"/>
  <c r="H8" i="34"/>
  <c r="AV6" i="16"/>
  <c r="AU6" i="16"/>
  <c r="AD60" i="17"/>
  <c r="Y60" i="17"/>
  <c r="N48" i="9"/>
  <c r="T48" i="9"/>
  <c r="AM48" i="9"/>
  <c r="N236" i="27"/>
  <c r="K236" i="27"/>
  <c r="Z272" i="16"/>
  <c r="K272" i="27"/>
  <c r="N272" i="27"/>
  <c r="N253" i="27"/>
  <c r="K253" i="27"/>
  <c r="AJ49" i="6"/>
  <c r="N49" i="6"/>
  <c r="N49" i="7"/>
  <c r="N49" i="8"/>
  <c r="T49" i="8"/>
  <c r="AM49" i="8"/>
  <c r="AG51" i="8"/>
  <c r="N31" i="27"/>
  <c r="K31" i="27"/>
  <c r="N283" i="27"/>
  <c r="K283" i="27"/>
  <c r="Y50" i="17"/>
  <c r="AD50" i="17"/>
  <c r="AJ5" i="17"/>
  <c r="AJ26" i="6"/>
  <c r="AK26" i="6"/>
  <c r="AK26" i="7"/>
  <c r="AG26" i="29"/>
  <c r="AG78" i="29"/>
  <c r="Z70" i="16"/>
  <c r="K70" i="27"/>
  <c r="N70" i="27"/>
  <c r="Z13" i="16"/>
  <c r="K79" i="27"/>
  <c r="N79" i="27"/>
  <c r="AC98" i="29"/>
  <c r="AC46" i="29"/>
  <c r="AF46" i="8"/>
  <c r="N46" i="6"/>
  <c r="N46" i="7"/>
  <c r="T46" i="7"/>
  <c r="AP46" i="8"/>
  <c r="N258" i="27"/>
  <c r="K258" i="27"/>
  <c r="N207" i="27"/>
  <c r="K207" i="27"/>
  <c r="AJ42" i="7"/>
  <c r="AF42" i="29"/>
  <c r="AF94" i="29"/>
  <c r="AJ15" i="7"/>
  <c r="AF15" i="29"/>
  <c r="AF67" i="29"/>
  <c r="AJ30" i="7"/>
  <c r="AF30" i="29"/>
  <c r="AF82" i="29"/>
  <c r="N34" i="27"/>
  <c r="K34" i="27"/>
  <c r="N189" i="27"/>
  <c r="K189" i="27"/>
  <c r="AL14" i="7"/>
  <c r="AJ20" i="7"/>
  <c r="AJ20" i="9"/>
  <c r="AL20" i="9"/>
  <c r="N36" i="6"/>
  <c r="N36" i="7"/>
  <c r="T36" i="7"/>
  <c r="AO36" i="9"/>
  <c r="AE36" i="9"/>
  <c r="AG36" i="9"/>
  <c r="N14" i="6"/>
  <c r="N14" i="7"/>
  <c r="T14" i="7"/>
  <c r="AP14" i="9"/>
  <c r="AF14" i="9"/>
  <c r="AF135" i="16"/>
  <c r="AL51" i="9"/>
  <c r="AJ51" i="9"/>
  <c r="AF166" i="16"/>
  <c r="AF199" i="16"/>
  <c r="Z199" i="16"/>
  <c r="AG69" i="29"/>
  <c r="AG17" i="29"/>
  <c r="AB82" i="29"/>
  <c r="AB30" i="29"/>
  <c r="AJ12" i="7"/>
  <c r="AJ12" i="9"/>
  <c r="AL12" i="9"/>
  <c r="AG9" i="27"/>
  <c r="Y9" i="27"/>
  <c r="K110" i="27"/>
  <c r="S9" i="27"/>
  <c r="AE164" i="17"/>
  <c r="Z164" i="17"/>
  <c r="AL38" i="7"/>
  <c r="AG76" i="29"/>
  <c r="AG24" i="29"/>
  <c r="N43" i="8"/>
  <c r="T43" i="8"/>
  <c r="AM43" i="8"/>
  <c r="AL36" i="8"/>
  <c r="AJ36" i="8"/>
  <c r="AF297" i="16"/>
  <c r="N43" i="29"/>
  <c r="N95" i="29"/>
  <c r="AF99" i="16"/>
  <c r="Z99" i="16"/>
  <c r="AB96" i="29"/>
  <c r="AB44" i="29"/>
  <c r="AM18" i="7"/>
  <c r="Z130" i="16"/>
  <c r="AF130" i="16"/>
  <c r="N17" i="29"/>
  <c r="N69" i="29"/>
  <c r="N51" i="6"/>
  <c r="N51" i="7"/>
  <c r="T51" i="7"/>
  <c r="AO51" i="8"/>
  <c r="AE51" i="8"/>
  <c r="AB51" i="29"/>
  <c r="AB103" i="29"/>
  <c r="R32" i="34"/>
  <c r="U32" i="34"/>
  <c r="AK17" i="8"/>
  <c r="AK17" i="6"/>
  <c r="AK17" i="7"/>
  <c r="AK17" i="9"/>
  <c r="AJ51" i="6"/>
  <c r="AJ51" i="7"/>
  <c r="AL51" i="7"/>
  <c r="AE31" i="17"/>
  <c r="Z31" i="17"/>
  <c r="AF115" i="16"/>
  <c r="AG7" i="27"/>
  <c r="Y7" i="27"/>
  <c r="Z2" i="16"/>
  <c r="K2" i="27"/>
  <c r="S7" i="27"/>
  <c r="AB9" i="27"/>
  <c r="Z258" i="16"/>
  <c r="AF258" i="16"/>
  <c r="N37" i="29"/>
  <c r="N89" i="29"/>
  <c r="AG11" i="9"/>
  <c r="AE11" i="9"/>
  <c r="AO11" i="9"/>
  <c r="AP55" i="9"/>
  <c r="AP53" i="9"/>
  <c r="AG10" i="27"/>
  <c r="Y10" i="27"/>
  <c r="K224" i="27"/>
  <c r="S10" i="27"/>
  <c r="AK8" i="16"/>
  <c r="AL8" i="16"/>
  <c r="AE11" i="17"/>
  <c r="Z11" i="17"/>
  <c r="AJ14" i="8"/>
  <c r="AL14" i="8"/>
  <c r="AF255" i="16"/>
  <c r="Z110" i="16"/>
  <c r="AF110" i="16"/>
  <c r="AK3" i="16"/>
  <c r="AL3" i="16"/>
  <c r="AG97" i="29"/>
  <c r="AG45" i="29"/>
  <c r="AJ25" i="6"/>
  <c r="N25" i="6"/>
  <c r="N25" i="7"/>
  <c r="T25" i="7"/>
  <c r="AP25" i="9"/>
  <c r="AF25" i="9"/>
  <c r="AE83" i="17"/>
  <c r="Z83" i="17"/>
  <c r="M89" i="27"/>
  <c r="J89" i="27"/>
  <c r="M96" i="27"/>
  <c r="J96" i="27"/>
  <c r="Z135" i="16"/>
  <c r="K135" i="27"/>
  <c r="N135" i="27"/>
  <c r="AF159" i="16"/>
  <c r="Z166" i="16"/>
  <c r="K166" i="27"/>
  <c r="N166" i="27"/>
  <c r="N64" i="29"/>
  <c r="N12" i="29"/>
  <c r="AE25" i="16"/>
  <c r="AL19" i="9"/>
  <c r="AJ19" i="9"/>
  <c r="AE86" i="17"/>
  <c r="Z86" i="17"/>
  <c r="AJ41" i="6"/>
  <c r="N41" i="6"/>
  <c r="N41" i="7"/>
  <c r="N41" i="9"/>
  <c r="T41" i="9"/>
  <c r="AM41" i="9"/>
  <c r="AF273" i="16"/>
  <c r="AP39" i="9"/>
  <c r="AF39" i="9"/>
  <c r="AF44" i="9"/>
  <c r="AP44" i="9"/>
  <c r="AE67" i="17"/>
  <c r="Z67" i="17"/>
  <c r="AJ38" i="6"/>
  <c r="AJ38" i="7"/>
  <c r="AJ38" i="8"/>
  <c r="AL38" i="8"/>
  <c r="AG8" i="8"/>
  <c r="N154" i="27"/>
  <c r="K154" i="27"/>
  <c r="Y22" i="16"/>
  <c r="AE22" i="16"/>
  <c r="AB89" i="29"/>
  <c r="AB37" i="29"/>
  <c r="Z297" i="16"/>
  <c r="K297" i="27"/>
  <c r="N297" i="27"/>
  <c r="AL48" i="7"/>
  <c r="Z115" i="16"/>
  <c r="K115" i="27"/>
  <c r="N115" i="27"/>
  <c r="AK24" i="8"/>
  <c r="AK24" i="6"/>
  <c r="AK24" i="7"/>
  <c r="AK24" i="9"/>
  <c r="R31" i="34"/>
  <c r="U31" i="34"/>
  <c r="AE62" i="17"/>
  <c r="Z62" i="17"/>
  <c r="AP5" i="9"/>
  <c r="AF5" i="9"/>
  <c r="F10" i="34"/>
  <c r="I10" i="34"/>
  <c r="AL32" i="7"/>
  <c r="AF73" i="16"/>
  <c r="AF142" i="16"/>
  <c r="Z255" i="16"/>
  <c r="K255" i="27"/>
  <c r="N255" i="27"/>
  <c r="AF112" i="16"/>
  <c r="AP21" i="9"/>
  <c r="AF21" i="9"/>
  <c r="AF276" i="16"/>
  <c r="M18" i="27"/>
  <c r="J18" i="27"/>
  <c r="Z159" i="16"/>
  <c r="K159" i="27"/>
  <c r="N159" i="27"/>
  <c r="AG50" i="8"/>
  <c r="Y25" i="16"/>
  <c r="J87" i="27"/>
  <c r="M87" i="27"/>
  <c r="AL13" i="7"/>
  <c r="Z31" i="16"/>
  <c r="AF31" i="16"/>
  <c r="AJ43" i="6"/>
  <c r="N43" i="6"/>
  <c r="N43" i="7"/>
  <c r="T43" i="7"/>
  <c r="AM43" i="7"/>
  <c r="Z273" i="16"/>
  <c r="K273" i="27"/>
  <c r="N273" i="27"/>
  <c r="AF145" i="16"/>
  <c r="AO44" i="8"/>
  <c r="AE44" i="8"/>
  <c r="AG44" i="8"/>
  <c r="AJ8" i="6"/>
  <c r="N8" i="6"/>
  <c r="N8" i="7"/>
  <c r="T8" i="7"/>
  <c r="AO8" i="8"/>
  <c r="AE8" i="8"/>
  <c r="AB8" i="29"/>
  <c r="AB60" i="29"/>
  <c r="AE24" i="16"/>
  <c r="AL7" i="8"/>
  <c r="AJ7" i="8"/>
  <c r="AC94" i="29"/>
  <c r="AC42" i="29"/>
  <c r="AF42" i="8"/>
  <c r="AP42" i="8"/>
  <c r="AJ48" i="7"/>
  <c r="AJ48" i="8"/>
  <c r="AL48" i="8"/>
  <c r="N19" i="29"/>
  <c r="N71" i="29"/>
  <c r="N180" i="27"/>
  <c r="K180" i="27"/>
  <c r="AO6" i="8"/>
  <c r="AE6" i="8"/>
  <c r="AG6" i="8"/>
  <c r="Z256" i="16"/>
  <c r="K256" i="27"/>
  <c r="N256" i="27"/>
  <c r="AJ14" i="6"/>
  <c r="AJ14" i="7"/>
  <c r="AF14" i="29"/>
  <c r="AF66" i="29"/>
  <c r="Y51" i="16"/>
  <c r="AE51" i="16"/>
  <c r="Z154" i="16"/>
  <c r="AF154" i="16"/>
  <c r="AD16" i="17"/>
  <c r="Y16" i="17"/>
  <c r="AF202" i="16"/>
  <c r="Z202" i="16"/>
  <c r="R7" i="34"/>
  <c r="U7" i="34"/>
  <c r="Z300" i="16"/>
  <c r="K300" i="27"/>
  <c r="N300" i="27"/>
  <c r="Z143" i="16"/>
  <c r="AF143" i="16"/>
  <c r="L69" i="6"/>
  <c r="Z253" i="16"/>
  <c r="AF253" i="16"/>
  <c r="Z162" i="16"/>
  <c r="AF162" i="16"/>
  <c r="K289" i="27"/>
  <c r="N289" i="27"/>
  <c r="V12" i="27"/>
  <c r="AJ12" i="27"/>
  <c r="N210" i="27"/>
  <c r="K210" i="27"/>
  <c r="N53" i="9"/>
  <c r="N158" i="27"/>
  <c r="K158" i="27"/>
  <c r="AE42" i="17"/>
  <c r="Z42" i="17"/>
  <c r="AE54" i="16"/>
  <c r="AJ32" i="6"/>
  <c r="AJ32" i="7"/>
  <c r="AJ32" i="8"/>
  <c r="AL32" i="8"/>
  <c r="Z142" i="16"/>
  <c r="K142" i="27"/>
  <c r="N142" i="27"/>
  <c r="Z34" i="16"/>
  <c r="AF34" i="16"/>
  <c r="AM19" i="7"/>
  <c r="Z112" i="16"/>
  <c r="K112" i="27"/>
  <c r="N112" i="27"/>
  <c r="K284" i="27"/>
  <c r="N284" i="27"/>
  <c r="AF79" i="16"/>
  <c r="Z79" i="16"/>
  <c r="AG18" i="9"/>
  <c r="AE18" i="9"/>
  <c r="AJ18" i="6"/>
  <c r="N18" i="6"/>
  <c r="N18" i="7"/>
  <c r="T18" i="7"/>
  <c r="AO18" i="9"/>
  <c r="AJ48" i="6"/>
  <c r="N48" i="6"/>
  <c r="N48" i="7"/>
  <c r="T48" i="7"/>
  <c r="AM48" i="7"/>
  <c r="Z276" i="16"/>
  <c r="K282" i="27"/>
  <c r="N282" i="27"/>
  <c r="Y18" i="16"/>
  <c r="AE18" i="16"/>
  <c r="N9" i="8"/>
  <c r="T9" i="8"/>
  <c r="AM9" i="8"/>
  <c r="AF206" i="16"/>
  <c r="Z206" i="16"/>
  <c r="AD17" i="17"/>
  <c r="Y17" i="17"/>
  <c r="AO50" i="8"/>
  <c r="AE50" i="8"/>
  <c r="AB50" i="29"/>
  <c r="AB102" i="29"/>
  <c r="AF26" i="16"/>
  <c r="AO50" i="9"/>
  <c r="AE50" i="9"/>
  <c r="AG50" i="9"/>
  <c r="AJ13" i="6"/>
  <c r="AJ13" i="7"/>
  <c r="AJ13" i="8"/>
  <c r="AL13" i="8"/>
  <c r="N7" i="7"/>
  <c r="T7" i="7"/>
  <c r="AO7" i="9"/>
  <c r="AE7" i="9"/>
  <c r="AG7" i="9"/>
  <c r="AF250" i="16"/>
  <c r="Z250" i="16"/>
  <c r="N6" i="7"/>
  <c r="T6" i="7"/>
  <c r="AP6" i="8"/>
  <c r="AF6" i="8"/>
  <c r="AC6" i="29"/>
  <c r="AC58" i="29"/>
  <c r="Z145" i="16"/>
  <c r="K145" i="27"/>
  <c r="N145" i="27"/>
  <c r="Z188" i="16"/>
  <c r="AF188" i="16"/>
  <c r="Y24" i="16"/>
  <c r="J24" i="27"/>
  <c r="M24" i="27"/>
  <c r="AF84" i="16"/>
  <c r="Z84" i="16"/>
  <c r="AE56" i="16"/>
  <c r="Z224" i="16"/>
  <c r="AF224" i="16"/>
  <c r="AB10" i="27"/>
  <c r="AJ19" i="7"/>
  <c r="AL19" i="7"/>
  <c r="AK45" i="9"/>
  <c r="AJ45" i="6"/>
  <c r="AK45" i="6"/>
  <c r="AK45" i="7"/>
  <c r="AK45" i="8"/>
  <c r="U11" i="34"/>
  <c r="AJ21" i="6"/>
  <c r="N21" i="6"/>
  <c r="N21" i="7"/>
  <c r="T21" i="7"/>
  <c r="AM21" i="7"/>
  <c r="R11" i="34"/>
  <c r="AJ46" i="6"/>
  <c r="AJ46" i="7"/>
  <c r="AL46" i="7"/>
  <c r="Z158" i="16"/>
  <c r="AF158" i="16"/>
  <c r="Z73" i="16"/>
  <c r="K73" i="27"/>
  <c r="N73" i="27"/>
  <c r="Z48" i="16"/>
  <c r="K48" i="27"/>
  <c r="N48" i="27"/>
  <c r="AF201" i="16"/>
  <c r="Z201" i="16"/>
  <c r="Y54" i="16"/>
  <c r="J54" i="27"/>
  <c r="M54" i="27"/>
  <c r="N37" i="6"/>
  <c r="N37" i="7"/>
  <c r="T37" i="7"/>
  <c r="AO37" i="8"/>
  <c r="AE37" i="8"/>
  <c r="AG37" i="8"/>
  <c r="AD52" i="17"/>
  <c r="Y52" i="17"/>
  <c r="AE142" i="17"/>
  <c r="Z142" i="17"/>
  <c r="AJ39" i="7"/>
  <c r="AL39" i="7"/>
  <c r="AJ55" i="6"/>
  <c r="AJ60" i="6"/>
  <c r="AJ6" i="7"/>
  <c r="AL6" i="7"/>
  <c r="AJ39" i="6"/>
  <c r="N39" i="6"/>
  <c r="N39" i="7"/>
  <c r="T39" i="7"/>
  <c r="AP39" i="8"/>
  <c r="AF39" i="8"/>
  <c r="AC39" i="29"/>
  <c r="AC91" i="29"/>
  <c r="H15" i="34"/>
  <c r="N9" i="7"/>
  <c r="T9" i="7"/>
  <c r="AM9" i="7"/>
  <c r="E15" i="34"/>
  <c r="AJ7" i="7"/>
  <c r="AL7" i="7"/>
  <c r="AF220" i="16"/>
  <c r="Z220" i="16"/>
  <c r="E9" i="34"/>
  <c r="E12" i="34"/>
  <c r="H9" i="34"/>
  <c r="H12" i="34"/>
  <c r="I11" i="34"/>
  <c r="F11" i="34"/>
  <c r="AK50" i="8"/>
  <c r="AK50" i="6"/>
  <c r="AK50" i="7"/>
  <c r="AK50" i="9"/>
  <c r="AJ11" i="6"/>
  <c r="N11" i="6"/>
  <c r="N11" i="7"/>
  <c r="T11" i="7"/>
  <c r="AM11" i="7"/>
  <c r="Z26" i="16"/>
  <c r="K26" i="27"/>
  <c r="N26" i="27"/>
  <c r="T12" i="7"/>
  <c r="AM12" i="7"/>
  <c r="Z38" i="16"/>
  <c r="AF38" i="16"/>
  <c r="AJ22" i="6"/>
  <c r="N22" i="6"/>
  <c r="N22" i="7"/>
  <c r="T22" i="7"/>
  <c r="AM22" i="7"/>
  <c r="Z93" i="17"/>
  <c r="AE93" i="17"/>
  <c r="AF210" i="16"/>
  <c r="S14" i="31"/>
  <c r="S9" i="31"/>
  <c r="S15" i="31"/>
  <c r="Z210" i="16"/>
  <c r="K178" i="27"/>
  <c r="N178" i="27"/>
  <c r="AE137" i="17"/>
  <c r="Z137" i="17"/>
  <c r="AG19" i="8"/>
  <c r="Z141" i="16"/>
  <c r="AF141" i="16"/>
  <c r="AL37" i="7"/>
  <c r="AJ44" i="6"/>
  <c r="N44" i="6"/>
  <c r="N44" i="7"/>
  <c r="T44" i="7"/>
  <c r="AM44" i="7"/>
  <c r="AF42" i="9"/>
  <c r="AJ42" i="6"/>
  <c r="N42" i="6"/>
  <c r="N42" i="7"/>
  <c r="T42" i="7"/>
  <c r="AP42" i="9"/>
  <c r="AE156" i="17"/>
  <c r="Z156" i="17"/>
  <c r="AJ30" i="6"/>
  <c r="N30" i="6"/>
  <c r="N30" i="7"/>
  <c r="T30" i="7"/>
  <c r="AO30" i="8"/>
  <c r="AE30" i="8"/>
  <c r="AG30" i="8"/>
  <c r="N10" i="7"/>
  <c r="T10" i="7"/>
  <c r="AM10" i="7"/>
  <c r="Y56" i="16"/>
  <c r="J56" i="27"/>
  <c r="M56" i="27"/>
  <c r="AJ7" i="6"/>
  <c r="N7" i="6"/>
  <c r="N55" i="6"/>
  <c r="N60" i="6"/>
  <c r="N5" i="7"/>
  <c r="T5" i="7"/>
  <c r="AP5" i="8"/>
  <c r="AF5" i="8"/>
  <c r="AC5" i="29"/>
  <c r="AC57" i="29"/>
  <c r="S11" i="31"/>
  <c r="R16" i="34"/>
  <c r="U21" i="34"/>
  <c r="R26" i="34"/>
  <c r="U26" i="34"/>
  <c r="U16" i="34"/>
  <c r="AJ33" i="6"/>
  <c r="N33" i="6"/>
  <c r="N33" i="7"/>
  <c r="T33" i="7"/>
  <c r="AM33" i="7"/>
  <c r="R21" i="34"/>
  <c r="AJ36" i="6"/>
  <c r="AJ36" i="7"/>
  <c r="AL36" i="7"/>
  <c r="AJ31" i="6"/>
  <c r="N31" i="6"/>
  <c r="N31" i="7"/>
  <c r="N31" i="8"/>
  <c r="T31" i="8"/>
  <c r="AM31" i="8"/>
  <c r="AJ19" i="6"/>
  <c r="N19" i="6"/>
  <c r="N19" i="7"/>
  <c r="T19" i="7"/>
  <c r="AO19" i="8"/>
  <c r="AE19" i="8"/>
  <c r="AB19" i="29"/>
  <c r="AB71" i="29"/>
  <c r="AJ23" i="6"/>
  <c r="N23" i="6"/>
  <c r="N23" i="7"/>
  <c r="T23" i="7"/>
  <c r="AM23" i="7"/>
  <c r="Z203" i="16"/>
  <c r="AF203" i="16"/>
  <c r="U9" i="34"/>
  <c r="R9" i="34"/>
  <c r="AJ37" i="6"/>
  <c r="AJ37" i="7"/>
  <c r="AF37" i="29"/>
  <c r="AF89" i="29"/>
  <c r="AJ50" i="6"/>
  <c r="N50" i="6"/>
  <c r="N50" i="7"/>
  <c r="T50" i="7"/>
  <c r="AM50" i="7"/>
  <c r="Z289" i="16"/>
  <c r="AF289" i="16"/>
  <c r="AB12" i="27"/>
  <c r="N63" i="6"/>
  <c r="AJ12" i="6"/>
  <c r="N12" i="6"/>
  <c r="N12" i="7"/>
  <c r="N12" i="9"/>
  <c r="T12" i="9"/>
  <c r="AM12" i="9"/>
  <c r="AJ24" i="6"/>
  <c r="N24" i="6"/>
  <c r="N24" i="7"/>
  <c r="T24" i="7"/>
  <c r="AM24" i="7"/>
  <c r="Z122" i="17"/>
  <c r="AE122" i="17"/>
  <c r="Z134" i="16"/>
  <c r="AF134" i="16"/>
  <c r="AJ17" i="6"/>
  <c r="N17" i="6"/>
  <c r="N17" i="7"/>
  <c r="L66" i="6"/>
  <c r="L64" i="6"/>
  <c r="L70" i="6"/>
  <c r="N64" i="6"/>
  <c r="AJ20" i="6"/>
  <c r="N20" i="6"/>
  <c r="N20" i="7"/>
  <c r="T20" i="7"/>
  <c r="AM20" i="7"/>
  <c r="Z138" i="16"/>
  <c r="AF13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D909394F-89A0-494C-961C-5513F27A56BD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1B5D1-0FA6-4C07-9742-4FECB1369A59}" name="Conexão" type="7" refreshedVersion="8" background="1" saveData="1"/>
  <connection id="2" xr16:uid="{66F34018-A40B-4741-A62F-A40FC0DE43B8}" name="Conexão1" type="7" refreshedVersion="8" background="1" saveData="1"/>
  <connection id="3" xr16:uid="{D681C55F-1C6F-4C90-B6DD-65BF71AE28AD}" name="Conexão2" type="7" refreshedVersion="8" background="1" saveData="1"/>
</connections>
</file>

<file path=xl/sharedStrings.xml><?xml version="1.0" encoding="utf-8"?>
<sst xmlns="http://schemas.openxmlformats.org/spreadsheetml/2006/main" count="17327" uniqueCount="1078">
  <si>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</si>
  <si>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</si>
  <si>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</si>
  <si>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</si>
  <si>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</si>
  <si>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</si>
  <si>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</si>
  <si>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</si>
  <si>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</si>
  <si>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</si>
  <si>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</si>
  <si>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</si>
  <si>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</si>
  <si>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</si>
  <si>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</si>
  <si>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</si>
  <si>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</si>
  <si>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</si>
  <si>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</si>
  <si>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</si>
  <si>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</si>
  <si>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</si>
  <si>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</si>
  <si>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</si>
  <si>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</si>
  <si>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</si>
  <si>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</si>
  <si>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</si>
  <si>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</si>
  <si>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</si>
  <si>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</si>
  <si>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</si>
  <si>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</si>
  <si>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Branca</t>
  </si>
  <si>
    <t>Fora ponta</t>
  </si>
  <si>
    <t>Intermediário</t>
  </si>
  <si>
    <t>B3</t>
  </si>
  <si>
    <t>Comercial</t>
  </si>
  <si>
    <t>A4</t>
  </si>
  <si>
    <t>Verde</t>
  </si>
  <si>
    <t>Ponta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</si>
  <si>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</si>
  <si>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</si>
  <si>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</si>
  <si>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</si>
  <si>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</si>
  <si>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</si>
  <si>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</si>
  <si>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</si>
  <si>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Industrial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</si>
  <si>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</si>
  <si>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</si>
  <si>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</si>
  <si>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</si>
  <si>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</si>
  <si>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</si>
  <si>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</si>
  <si>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</si>
  <si>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</si>
  <si>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</si>
  <si>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</si>
  <si>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</si>
  <si>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</si>
  <si>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</si>
  <si>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</si>
  <si>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</si>
  <si>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</si>
  <si>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</si>
  <si>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</si>
  <si>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</si>
  <si>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</si>
  <si>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</si>
  <si>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</si>
  <si>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Azul</t>
  </si>
  <si>
    <t>kW</t>
  </si>
  <si>
    <t>DP</t>
  </si>
  <si>
    <t>DFP</t>
  </si>
  <si>
    <t>APE</t>
  </si>
  <si>
    <t>Geração</t>
  </si>
  <si>
    <t>B</t>
  </si>
  <si>
    <t>TIPO 01</t>
  </si>
  <si>
    <t>TIPO 02</t>
  </si>
  <si>
    <t>EINT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</si>
  <si>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</si>
  <si>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</si>
  <si>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</si>
  <si>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</si>
  <si>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</si>
  <si>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</si>
  <si>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</si>
  <si>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</si>
  <si>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</si>
  <si>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</si>
  <si>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</si>
  <si>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</si>
  <si>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</si>
  <si>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</si>
  <si>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</si>
  <si>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</si>
  <si>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</si>
  <si>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</si>
  <si>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</si>
  <si>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</si>
  <si>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</si>
  <si>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</si>
  <si>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</si>
  <si>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</si>
  <si>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</si>
  <si>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</si>
  <si>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</si>
  <si>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</si>
  <si>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</si>
  <si>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</si>
  <si>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</si>
  <si>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</si>
  <si>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</si>
  <si>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</si>
  <si>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</si>
  <si>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</si>
  <si>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</si>
  <si>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</si>
  <si>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</si>
  <si>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</si>
  <si>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</si>
  <si>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</si>
  <si>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44440B1BrancaResidencialResidencialNão se aplicaNão se aplicaFora ponta</t>
  </si>
  <si>
    <t>44470B1BrancaResidencialResidencialNão se aplicaNão se aplicaFora 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</si>
  <si>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</si>
  <si>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</si>
  <si>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</si>
  <si>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</si>
  <si>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</si>
  <si>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</si>
  <si>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</si>
  <si>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</si>
  <si>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</si>
  <si>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</si>
  <si>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44440B1BrancaResidencialResidencialNão se aplicaNão se aplicaIntermediário</t>
  </si>
  <si>
    <t>44470B1BrancaResidencialResidencialNão se aplicaNão se aplicaIntermediário</t>
  </si>
  <si>
    <t>44501B1BrancaResidencialResidencialNão se aplicaNão se aplicaIntermediário</t>
  </si>
  <si>
    <t>44531B1BrancaResidencialResidencialNão se aplicaNão se aplicaIntermediário</t>
  </si>
  <si>
    <t>44562B1BrancaResidencialResidencialNão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</si>
  <si>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</si>
  <si>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</si>
  <si>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44652B1BrancaResidencialResidencialNão se aplicaNão se aplicaIntermediário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</si>
  <si>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</si>
  <si>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</si>
  <si>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</si>
  <si>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</si>
  <si>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</si>
  <si>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</si>
  <si>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</si>
  <si>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</si>
  <si>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</si>
  <si>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</si>
  <si>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</si>
  <si>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</si>
  <si>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</si>
  <si>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</si>
  <si>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</si>
  <si>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</si>
  <si>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</si>
  <si>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</si>
  <si>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</si>
  <si>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</si>
  <si>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</si>
  <si>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</si>
  <si>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</si>
  <si>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</si>
  <si>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</si>
  <si>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</si>
  <si>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</si>
  <si>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</si>
  <si>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</si>
  <si>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</si>
  <si>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</si>
  <si>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</si>
  <si>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</si>
  <si>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</si>
  <si>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</si>
  <si>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</si>
  <si>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</si>
  <si>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</si>
  <si>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</si>
  <si>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</si>
  <si>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</si>
  <si>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</si>
  <si>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</si>
  <si>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</si>
  <si>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</si>
  <si>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</si>
  <si>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</si>
  <si>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</si>
  <si>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</si>
  <si>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</si>
  <si>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</si>
  <si>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</si>
  <si>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</si>
  <si>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</si>
  <si>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</si>
  <si>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</si>
  <si>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</si>
  <si>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</si>
  <si>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</si>
  <si>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</si>
  <si>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</si>
  <si>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</si>
  <si>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</si>
  <si>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</si>
  <si>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</si>
  <si>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</si>
  <si>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</si>
  <si>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</si>
  <si>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</si>
  <si>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</si>
  <si>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</si>
  <si>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</si>
  <si>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</si>
  <si>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</si>
  <si>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</si>
  <si>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</si>
  <si>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</si>
  <si>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</si>
  <si>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</si>
  <si>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</si>
  <si>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</si>
  <si>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</si>
  <si>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</si>
  <si>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</si>
  <si>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</si>
  <si>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</si>
  <si>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</si>
  <si>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</si>
  <si>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</si>
  <si>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</si>
  <si>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</si>
  <si>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</si>
  <si>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</si>
  <si>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</si>
  <si>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</si>
  <si>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</si>
  <si>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</si>
  <si>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</si>
  <si>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</si>
  <si>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</si>
  <si>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</si>
  <si>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</si>
  <si>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</si>
  <si>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</si>
  <si>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</si>
  <si>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</si>
  <si>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</si>
  <si>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</si>
  <si>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</si>
  <si>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</si>
  <si>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</si>
  <si>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</si>
  <si>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</si>
  <si>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</si>
  <si>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</si>
  <si>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</si>
  <si>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</si>
  <si>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</si>
  <si>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</si>
  <si>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</si>
  <si>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</si>
  <si>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</si>
  <si>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</si>
  <si>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</si>
  <si>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</si>
  <si>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</si>
  <si>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</si>
  <si>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</si>
  <si>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</si>
  <si>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horáriaResidencialResidencialNão se aplicaNão se aplicaFora ponta</t>
  </si>
  <si>
    <t>44470B1Energia horáriaResidencialResidencialNão se aplicaNão se aplicaFora 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</si>
  <si>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</si>
  <si>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</si>
  <si>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</si>
  <si>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</si>
  <si>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</si>
  <si>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</si>
  <si>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</si>
  <si>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</si>
  <si>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</si>
  <si>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</si>
  <si>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44440B1Energia horáriaResidencialResidencialNão se aplicaNão se aplicaIntermediário</t>
  </si>
  <si>
    <t>44470B1Energia horáriaResidencialResidencialNão se aplicaNão se aplicaIntermediário</t>
  </si>
  <si>
    <t>44501B1Energia horáriaResidencialResidencialNão se aplicaNão se aplicaIntermediário</t>
  </si>
  <si>
    <t>44531B1Energia horáriaResidencialResidencialNão se aplicaNão se aplicaIntermediário</t>
  </si>
  <si>
    <t>44562B1Energia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</si>
  <si>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</si>
  <si>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</si>
  <si>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44652B1Energia horáriaResidencialResidencialNão se aplicaNão se aplicaIntermediário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</si>
  <si>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</si>
  <si>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</si>
  <si>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</si>
  <si>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</si>
  <si>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</si>
  <si>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</si>
  <si>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</si>
  <si>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</si>
  <si>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</si>
  <si>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</si>
  <si>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</si>
  <si>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</si>
  <si>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</si>
  <si>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</si>
  <si>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</si>
  <si>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</si>
  <si>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</si>
  <si>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</si>
  <si>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</si>
  <si>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</si>
  <si>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</si>
  <si>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</si>
  <si>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</si>
  <si>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</si>
  <si>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</si>
  <si>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</si>
  <si>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</si>
  <si>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</si>
  <si>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</si>
  <si>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</si>
  <si>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</si>
  <si>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</si>
  <si>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</si>
  <si>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</si>
  <si>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</si>
  <si>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</si>
  <si>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</si>
  <si>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</si>
  <si>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</si>
  <si>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</si>
  <si>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</si>
  <si>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</si>
  <si>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</si>
  <si>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</si>
  <si>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</si>
  <si>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</si>
  <si>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</si>
  <si>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</si>
  <si>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</si>
  <si>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</si>
  <si>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</si>
  <si>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</si>
  <si>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</si>
  <si>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</si>
  <si>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</si>
  <si>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</si>
  <si>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</si>
  <si>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</si>
  <si>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</si>
  <si>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</si>
  <si>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</si>
  <si>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</si>
  <si>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</si>
  <si>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</si>
  <si>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</si>
  <si>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</si>
  <si>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</si>
  <si>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</si>
  <si>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</si>
  <si>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</si>
  <si>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</si>
  <si>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</si>
  <si>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</si>
  <si>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</si>
  <si>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</si>
  <si>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</si>
  <si>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</si>
  <si>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</si>
  <si>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</si>
  <si>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</si>
  <si>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</si>
  <si>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</si>
  <si>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</si>
  <si>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</si>
  <si>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</si>
  <si>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</si>
  <si>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</si>
  <si>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</si>
  <si>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</si>
  <si>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</si>
  <si>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</si>
  <si>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</si>
  <si>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</si>
  <si>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</si>
  <si>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</si>
  <si>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</si>
  <si>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</si>
  <si>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</si>
  <si>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</si>
  <si>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</si>
  <si>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</si>
  <si>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</si>
  <si>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</si>
  <si>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</si>
  <si>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</si>
  <si>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</si>
  <si>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</si>
  <si>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</si>
  <si>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</si>
  <si>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</si>
  <si>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</si>
  <si>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</si>
  <si>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</si>
  <si>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</si>
  <si>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</si>
  <si>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</si>
  <si>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</si>
  <si>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</si>
  <si>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</si>
  <si>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</si>
  <si>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</si>
  <si>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</si>
  <si>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</si>
  <si>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</si>
  <si>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</si>
  <si>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</si>
  <si>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</si>
  <si>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</si>
  <si>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</si>
  <si>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</si>
  <si>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</si>
  <si>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</si>
  <si>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</si>
  <si>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</si>
  <si>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</si>
  <si>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</si>
  <si>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</si>
  <si>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</si>
  <si>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</si>
  <si>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</si>
  <si>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</si>
  <si>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</si>
  <si>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</si>
  <si>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</si>
  <si>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</si>
  <si>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</si>
  <si>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</si>
  <si>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</si>
  <si>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</si>
  <si>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</si>
  <si>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</si>
  <si>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</si>
  <si>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</si>
  <si>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</si>
  <si>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</si>
  <si>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</si>
  <si>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</si>
  <si>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</si>
  <si>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</si>
  <si>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</si>
  <si>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</si>
  <si>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</si>
  <si>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</si>
  <si>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</si>
  <si>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</si>
  <si>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</si>
  <si>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</si>
  <si>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</si>
  <si>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</si>
  <si>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</si>
  <si>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</si>
  <si>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</si>
  <si>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</si>
  <si>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</si>
  <si>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</si>
  <si>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</si>
  <si>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</si>
  <si>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</si>
  <si>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</si>
  <si>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</si>
  <si>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</si>
  <si>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</si>
  <si>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</si>
  <si>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</si>
  <si>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</si>
  <si>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</si>
  <si>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</si>
  <si>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</si>
  <si>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</si>
  <si>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</si>
  <si>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</si>
  <si>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</si>
  <si>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</si>
  <si>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</si>
  <si>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</si>
  <si>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</si>
  <si>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</si>
  <si>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</si>
  <si>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</si>
  <si>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</si>
  <si>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</si>
  <si>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2.944,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</si>
  <si>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</si>
  <si>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</si>
  <si>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</si>
  <si>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</si>
  <si>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</si>
  <si>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</si>
  <si>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</si>
  <si>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</si>
  <si>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</si>
  <si>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</si>
  <si>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</si>
  <si>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</si>
  <si>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</si>
  <si>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</si>
  <si>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</si>
  <si>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</si>
  <si>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</si>
  <si>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</si>
  <si>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</si>
  <si>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</si>
  <si>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</si>
  <si>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</si>
  <si>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</si>
  <si>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</si>
  <si>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</si>
  <si>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</si>
  <si>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</si>
  <si>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</si>
  <si>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</si>
  <si>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</si>
  <si>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</si>
  <si>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</si>
  <si>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</si>
  <si>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</si>
  <si>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</si>
  <si>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</si>
  <si>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</si>
  <si>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</si>
  <si>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</si>
  <si>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</si>
  <si>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</si>
  <si>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</si>
  <si>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</si>
  <si>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</si>
  <si>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</si>
  <si>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</si>
  <si>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</si>
  <si>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</si>
  <si>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</si>
  <si>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</si>
  <si>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</si>
  <si>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</si>
  <si>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</si>
  <si>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</si>
  <si>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</si>
  <si>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</si>
  <si>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</si>
  <si>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</si>
  <si>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</si>
  <si>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</si>
  <si>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</si>
  <si>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</si>
  <si>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</si>
  <si>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</si>
  <si>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</si>
  <si>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</si>
  <si>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</si>
  <si>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</si>
  <si>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</si>
  <si>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</si>
  <si>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</si>
  <si>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</si>
  <si>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</si>
  <si>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</si>
  <si>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</si>
  <si>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</si>
  <si>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</si>
  <si>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</si>
  <si>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</si>
  <si>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</si>
  <si>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</si>
  <si>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</si>
  <si>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</si>
  <si>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</si>
  <si>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</si>
  <si>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</si>
  <si>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</si>
  <si>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</si>
  <si>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</si>
  <si>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</si>
  <si>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</si>
  <si>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</si>
  <si>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</si>
  <si>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</si>
  <si>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</si>
  <si>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</si>
  <si>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</si>
  <si>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</si>
  <si>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</si>
  <si>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</si>
  <si>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</si>
  <si>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ÁGUA, ESGOTO E SANEAMENTO</t>
  </si>
  <si>
    <t>SUBSIDIO BAIXA RENDA</t>
  </si>
  <si>
    <t>SUBSIDIO RURAL</t>
  </si>
  <si>
    <t>R$ (TV)</t>
  </si>
  <si>
    <t>R$ (TN)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</si>
  <si>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</si>
  <si>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</si>
  <si>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</si>
  <si>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</si>
  <si>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</si>
  <si>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</si>
  <si>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</si>
  <si>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</si>
  <si>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</si>
  <si>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</si>
  <si>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</si>
  <si>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</si>
  <si>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</si>
  <si>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Verde1Serviço públicoÁgua, esgoto e saneamentoPlanilha CUSTOA4</t>
  </si>
  <si>
    <t>Convencional 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</si>
  <si>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</si>
  <si>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</si>
  <si>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</si>
  <si>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</si>
  <si>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Azul1RuralNão se aplicaPlanilha CustoA4</t>
  </si>
  <si>
    <t>Verde1RuralNão se aplicaPlanilha CustoA4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</si>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</sst>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5" fontId="3" fillId="0" borderId="0" xfId="0" applyNumberFormat="1" applyFont="1"/>
    <xf numFmtId="168" fontId="3" fillId="0" borderId="0" xfId="0" applyNumberFormat="1" applyFont="1"/>
    <xf numFmtId="168" fontId="1" fillId="0" borderId="0" xfId="0" applyNumberFormat="1" applyFont="1" applyAlignment="1">
      <alignment horizontal="center" vertical="center"/>
    </xf>
    <xf numFmtId="164" fontId="3" fillId="0" borderId="0" xfId="1" applyFont="1"/>
    <xf numFmtId="164" fontId="3" fillId="0" borderId="0" xfId="0" applyNumberFormat="1" applyFont="1"/>
    <xf numFmtId="10" fontId="3" fillId="0" borderId="0" xfId="2" applyNumberFormat="1" applyFont="1" applyAlignment="1">
      <alignment vertical="center"/>
    </xf>
    <xf numFmtId="40" fontId="3" fillId="3" borderId="0" xfId="0" applyNumberFormat="1" applyFont="1" applyFill="1" applyAlignment="1">
      <alignment vertical="center"/>
    </xf>
    <xf numFmtId="0" fontId="3" fillId="0" borderId="13" xfId="0" applyFont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40" fontId="3" fillId="2" borderId="13" xfId="0" applyNumberFormat="1" applyFont="1" applyFill="1" applyBorder="1" applyAlignment="1">
      <alignment vertical="center"/>
    </xf>
    <xf numFmtId="10" fontId="3" fillId="0" borderId="0" xfId="0" applyNumberFormat="1" applyFont="1"/>
    <xf numFmtId="2" fontId="9" fillId="4" borderId="15" xfId="0" applyNumberFormat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left" vertical="center" indent="1"/>
    </xf>
    <xf numFmtId="4" fontId="9" fillId="5" borderId="0" xfId="0" applyNumberFormat="1" applyFont="1" applyFill="1" applyAlignment="1">
      <alignment vertical="center"/>
    </xf>
    <xf numFmtId="0" fontId="9" fillId="5" borderId="0" xfId="0" applyFont="1" applyFill="1" applyAlignment="1">
      <alignment horizontal="left" vertical="center" indent="1"/>
    </xf>
    <xf numFmtId="10" fontId="9" fillId="4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 indent="1"/>
    </xf>
    <xf numFmtId="10" fontId="9" fillId="5" borderId="0" xfId="0" applyNumberFormat="1" applyFont="1" applyFill="1" applyAlignment="1">
      <alignment vertical="center"/>
    </xf>
    <xf numFmtId="0" fontId="10" fillId="6" borderId="16" xfId="0" applyFont="1" applyFill="1" applyBorder="1" applyAlignment="1">
      <alignment horizontal="center" vertical="center"/>
    </xf>
    <xf numFmtId="40" fontId="9" fillId="4" borderId="15" xfId="0" applyNumberFormat="1" applyFont="1" applyFill="1" applyBorder="1" applyAlignment="1">
      <alignment horizontal="center" vertical="center"/>
    </xf>
    <xf numFmtId="169" fontId="9" fillId="5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2" fillId="7" borderId="18" xfId="0" applyNumberFormat="1" applyFont="1" applyFill="1" applyBorder="1"/>
    <xf numFmtId="4" fontId="12" fillId="7" borderId="12" xfId="0" applyNumberFormat="1" applyFont="1" applyFill="1" applyBorder="1"/>
    <xf numFmtId="4" fontId="12" fillId="7" borderId="19" xfId="0" applyNumberFormat="1" applyFont="1" applyFill="1" applyBorder="1"/>
    <xf numFmtId="4" fontId="12" fillId="7" borderId="6" xfId="0" applyNumberFormat="1" applyFont="1" applyFill="1" applyBorder="1"/>
    <xf numFmtId="4" fontId="12" fillId="7" borderId="13" xfId="0" applyNumberFormat="1" applyFont="1" applyFill="1" applyBorder="1"/>
    <xf numFmtId="4" fontId="12" fillId="7" borderId="5" xfId="0" applyNumberFormat="1" applyFont="1" applyFill="1" applyBorder="1"/>
    <xf numFmtId="4" fontId="12" fillId="7" borderId="20" xfId="0" applyNumberFormat="1" applyFont="1" applyFill="1" applyBorder="1"/>
    <xf numFmtId="4" fontId="12" fillId="7" borderId="10" xfId="0" applyNumberFormat="1" applyFont="1" applyFill="1" applyBorder="1"/>
    <xf numFmtId="4" fontId="12" fillId="7" borderId="17" xfId="0" applyNumberFormat="1" applyFont="1" applyFill="1" applyBorder="1"/>
    <xf numFmtId="4" fontId="12" fillId="7" borderId="13" xfId="0" applyNumberFormat="1" applyFont="1" applyFill="1" applyBorder="1" applyAlignment="1">
      <alignment horizontal="center"/>
    </xf>
    <xf numFmtId="4" fontId="12" fillId="7" borderId="12" xfId="0" applyNumberFormat="1" applyFont="1" applyFill="1" applyBorder="1" applyAlignment="1">
      <alignment horizontal="center"/>
    </xf>
    <xf numFmtId="4" fontId="12" fillId="7" borderId="19" xfId="0" applyNumberFormat="1" applyFont="1" applyFill="1" applyBorder="1" applyAlignment="1">
      <alignment horizontal="center"/>
    </xf>
    <xf numFmtId="4" fontId="12" fillId="7" borderId="19" xfId="0" applyNumberFormat="1" applyFont="1" applyFill="1" applyBorder="1" applyAlignment="1">
      <alignment horizontal="center"/>
    </xf>
    <xf numFmtId="4" fontId="12" fillId="7" borderId="12" xfId="0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817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-5.1219646689202583E-4</c:v>
                </c:pt>
                <c:pt idx="1">
                  <c:v>3.3034452811929184E-4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7.0770273811508327E-2</c:v>
                </c:pt>
                <c:pt idx="6">
                  <c:v>1.310713968568031E-2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5.0853023259239238E-2</c:v>
                </c:pt>
                <c:pt idx="13">
                  <c:v>0</c:v>
                </c:pt>
                <c:pt idx="14">
                  <c:v>0</c:v>
                </c:pt>
                <c:pt idx="15">
                  <c:v>-3.9883778939031472E-2</c:v>
                </c:pt>
                <c:pt idx="16">
                  <c:v>0</c:v>
                </c:pt>
                <c:pt idx="17">
                  <c:v>0</c:v>
                </c:pt>
                <c:pt idx="18">
                  <c:v>7.3118221624280961E-3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D-4066-A9F4-BC7FF5CE9B76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-1.6748052722115622E-3</c:v>
                </c:pt>
                <c:pt idx="1">
                  <c:v>5.7792105712479731E-4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6.9167657913539002E-2</c:v>
                </c:pt>
                <c:pt idx="6">
                  <c:v>1.4030010898510312E-2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5.1555445333850328E-2</c:v>
                </c:pt>
                <c:pt idx="13">
                  <c:v>0</c:v>
                </c:pt>
                <c:pt idx="14">
                  <c:v>0</c:v>
                </c:pt>
                <c:pt idx="15">
                  <c:v>-8.1472904252638048E-3</c:v>
                </c:pt>
                <c:pt idx="16">
                  <c:v>0</c:v>
                </c:pt>
                <c:pt idx="17">
                  <c:v>0</c:v>
                </c:pt>
                <c:pt idx="18">
                  <c:v>4.5530386307774473E-3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D-4066-A9F4-BC7FF5CE9B76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-1.6748052722115622E-3</c:v>
                </c:pt>
                <c:pt idx="1">
                  <c:v>5.7792105712479731E-4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6.9167657913539002E-2</c:v>
                </c:pt>
                <c:pt idx="6">
                  <c:v>1.4030010898510312E-2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5.1555445333850328E-2</c:v>
                </c:pt>
                <c:pt idx="13">
                  <c:v>0</c:v>
                </c:pt>
                <c:pt idx="14">
                  <c:v>0</c:v>
                </c:pt>
                <c:pt idx="15">
                  <c:v>-8.1472904252638048E-3</c:v>
                </c:pt>
                <c:pt idx="16">
                  <c:v>0</c:v>
                </c:pt>
                <c:pt idx="17">
                  <c:v>0</c:v>
                </c:pt>
                <c:pt idx="18">
                  <c:v>4.5530386307774473E-3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D-4066-A9F4-BC7FF5CE9B7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00CD-4066-A9F4-BC7FF5CE9B7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00CD-4066-A9F4-BC7FF5CE9B7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00CD-4066-A9F4-BC7FF5CE9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056584"/>
        <c:axId val="959056912"/>
      </c:radarChart>
      <c:catAx>
        <c:axId val="9590565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59056912"/>
        <c:crosses val="autoZero"/>
        <c:auto val="1"/>
        <c:lblAlgn val="ctr"/>
        <c:lblOffset val="100"/>
        <c:noMultiLvlLbl val="0"/>
      </c:catAx>
      <c:valAx>
        <c:axId val="95905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905658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0.2243767877177876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7-4E75-BC34-C6DDA42592DB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0.2148626093097501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7-4E75-BC34-C6DDA42592DB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0.2148626093097501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7-4E75-BC34-C6DDA42592DB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577-4E75-BC34-C6DDA42592DB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577-4E75-BC34-C6DDA42592DB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577-4E75-BC34-C6DDA4259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743632"/>
        <c:axId val="631383136"/>
      </c:radarChart>
      <c:catAx>
        <c:axId val="6427436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31383136"/>
        <c:crosses val="autoZero"/>
        <c:auto val="1"/>
        <c:lblAlgn val="ctr"/>
        <c:lblOffset val="100"/>
        <c:noMultiLvlLbl val="0"/>
      </c:catAx>
      <c:valAx>
        <c:axId val="63138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274363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525781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6D9363-400D-0C9E-B57C-3E5E543EF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342901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78F5A8-BDBF-E354-9339-FDD9246C3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3.629515046297" createdVersion="5" refreshedVersion="8" minRefreshableVersion="3" recordCount="299" xr:uid="{75BE6C4E-CFF9-47C1-B93B-8BE0A81BE48D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7">
        <s v="Comercial"/>
        <s v="Industrial"/>
        <s v="Serviço público"/>
        <s v="Residencial"/>
        <s v="Rural"/>
        <s v="Poder público"/>
        <s v="Iluminação pública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Iluminação pública – B4a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2100"/>
    </cacheField>
    <cacheField name="Daj" numFmtId="40">
      <sharedItems containsSemiMixedTypes="0" containsString="0" containsNumber="1" minValue="0" maxValue="2100"/>
    </cacheField>
    <cacheField name="TUSD_E" numFmtId="40">
      <sharedItems containsSemiMixedTypes="0" containsString="0" containsNumber="1" minValue="-1.657" maxValue="897.19799999999998"/>
    </cacheField>
    <cacheField name="TUSD_Eaj" numFmtId="40">
      <sharedItems containsSemiMixedTypes="0" containsString="0" containsNumber="1" minValue="-1.657" maxValue="897.19799999999998"/>
    </cacheField>
    <cacheField name="TE_E" numFmtId="40">
      <sharedItems containsSemiMixedTypes="0" containsString="0" containsNumber="1" minValue="-1.657" maxValue="541.529"/>
    </cacheField>
    <cacheField name="TE_Eaj" numFmtId="40">
      <sharedItems containsSemiMixedTypes="0" containsString="0" containsNumber="1" minValue="-1.657" maxValue="541.529"/>
    </cacheField>
    <cacheField name="UC" numFmtId="40">
      <sharedItems containsSemiMixedTypes="0" containsString="0" containsNumber="1" containsInteger="1" minValue="0" maxValue="3286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47"/>
    </cacheField>
    <cacheField name="CóD. AUX. TUSD R$/MWh" numFmtId="40">
      <sharedItems containsSemiMixedTypes="0" containsString="0" containsNumber="1" containsInteger="1" minValue="0" maxValue="67"/>
    </cacheField>
    <cacheField name="CóD. AUX. TE R$/MWh" numFmtId="4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29.84"/>
    </cacheField>
    <cacheField name="TUSD (R$/MWh)" numFmtId="40">
      <sharedItems containsSemiMixedTypes="0" containsString="0" containsNumber="1" minValue="0" maxValue="2389.5"/>
    </cacheField>
    <cacheField name="TE (R$/MWh)" numFmtId="40">
      <sharedItems containsSemiMixedTypes="0" containsString="0" containsNumber="1" minValue="0" maxValue="221.6"/>
    </cacheField>
    <cacheField name="TUSD (R$/kW) NOVA" numFmtId="40">
      <sharedItems containsString="0" containsBlank="1" containsNumber="1" minValue="32.209574164280724" maxValue="32.209574164280724"/>
    </cacheField>
    <cacheField name="TUSD (R$/MWh) NOVA" numFmtId="40">
      <sharedItems containsString="0" containsBlank="1" containsNumber="1" minValue="127.27094738503071" maxValue="2540.3649699415037"/>
    </cacheField>
    <cacheField name="TE (R$/MWh) NOVA" numFmtId="40">
      <sharedItems containsString="0" containsBlank="1" containsNumber="1" minValue="129.73806590325987" maxValue="370.68018829502824"/>
    </cacheField>
    <cacheField name="RA0 ou RV - TUSD (kW)" numFmtId="40">
      <sharedItems containsSemiMixedTypes="0" containsString="0" containsNumber="1" minValue="0" maxValue="62664"/>
    </cacheField>
    <cacheField name="RA0 ou RV - TUSD (MWh)" numFmtId="40">
      <sharedItems containsSemiMixedTypes="0" containsString="0" containsNumber="1" minValue="-765.98139000000003" maxValue="250332.61082999999"/>
    </cacheField>
    <cacheField name="RA0 ou RV - TE (MWh)" numFmtId="40">
      <sharedItems containsSemiMixedTypes="0" containsString="0" containsNumber="1" minValue="-367.19119999999998" maxValue="120002.82639999999"/>
    </cacheField>
    <cacheField name="RA1 ou RRD - TUSD (kW)" numFmtId="40">
      <sharedItems containsSemiMixedTypes="0" containsString="0" containsNumber="1" minValue="0" maxValue="67640.105744989516"/>
    </cacheField>
    <cacheField name="RA1 ou RRD - TUSD (MWh)" numFmtId="40">
      <sharedItems containsSemiMixedTypes="0" containsString="0" containsNumber="1" minValue="-823.41615294641531" maxValue="269103.03312547941"/>
    </cacheField>
    <cacheField name="RA1 ou RRD - TE (MWh)" numFmtId="40">
      <sharedItems containsSemiMixedTypes="0" containsString="0" containsNumber="1" minValue="-614.21707200486185" maxValue="200734.07168721835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3.629566087962" createdVersion="5" refreshedVersion="8" minRefreshableVersion="3" recordCount="167" xr:uid="{247C6B2E-F60B-4F79-BA69-8B7B5F2CFE21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4">
        <s v="Industrial"/>
        <s v="Serviço público"/>
        <s v="Residencial"/>
        <s v="Rural"/>
      </sharedItems>
    </cacheField>
    <cacheField name="Subclasse" numFmtId="0">
      <sharedItems count="7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</sharedItems>
    </cacheField>
    <cacheField name="Detalhe" numFmtId="0">
      <sharedItems count="2">
        <s v="Fonte incentivada"/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2100"/>
    </cacheField>
    <cacheField name="Daj" numFmtId="40">
      <sharedItems containsSemiMixedTypes="0" containsString="0" containsNumber="1" minValue="0" maxValue="2100"/>
    </cacheField>
    <cacheField name="TUSD_E" numFmtId="40">
      <sharedItems containsSemiMixedTypes="0" containsString="0" containsNumber="1" minValue="-0.82199999999999995" maxValue="897.19799999999998"/>
    </cacheField>
    <cacheField name="TUSD_Eaj" numFmtId="40">
      <sharedItems containsSemiMixedTypes="0" containsString="0" containsNumber="1" minValue="-0.82199999999999995" maxValue="897.19799999999998"/>
    </cacheField>
    <cacheField name="TE_E" numFmtId="40">
      <sharedItems containsSemiMixedTypes="0" containsString="0" containsNumber="1" minValue="-0.82199999999999995" maxValue="423.71499999999997"/>
    </cacheField>
    <cacheField name="TE_Eaj" numFmtId="40">
      <sharedItems containsSemiMixedTypes="0" containsString="0" containsNumber="1" minValue="-0.82199999999999995" maxValue="423.71499999999997"/>
    </cacheField>
    <cacheField name="UC" numFmtId="40">
      <sharedItems containsSemiMixedTypes="0" containsString="0" containsNumber="1" containsInteger="1" minValue="0" maxValue="3253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47"/>
    </cacheField>
    <cacheField name="CóD. AUX. TUSD R$/MWh" numFmtId="0">
      <sharedItems containsSemiMixedTypes="0" containsString="0" containsNumber="1" containsInteger="1" minValue="0" maxValue="61"/>
    </cacheField>
    <cacheField name="CóD. AUX. TE R$/MWh" numFmtId="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29.84"/>
    </cacheField>
    <cacheField name="TUSD (R$/MWh)" numFmtId="40">
      <sharedItems containsSemiMixedTypes="0" containsString="0" containsNumber="1" minValue="0" maxValue="2389.5"/>
    </cacheField>
    <cacheField name="TE (R$/MWh)" numFmtId="40">
      <sharedItems containsSemiMixedTypes="0" containsString="0" containsNumber="1" minValue="0" maxValue="221.6"/>
    </cacheField>
    <cacheField name="TUSD (R$/kW) NOVA" numFmtId="40">
      <sharedItems containsString="0" containsBlank="1" containsNumber="1" minValue="32.209574164280724" maxValue="32.209574164280724"/>
    </cacheField>
    <cacheField name="TUSD (R$/MWh) NOVA" numFmtId="40">
      <sharedItems containsString="0" containsBlank="1" containsNumber="1" minValue="127.27094738503071" maxValue="2540.3649699415037"/>
    </cacheField>
    <cacheField name="TE (R$/MWh) NOVA" numFmtId="40">
      <sharedItems containsString="0" containsBlank="1" containsNumber="1" minValue="129.73806590325987" maxValue="370.68018829502824"/>
    </cacheField>
    <cacheField name="SUBSIDIO kW - TV" numFmtId="40">
      <sharedItems containsSemiMixedTypes="0" containsString="0" containsNumber="1" minValue="0" maxValue="31332"/>
    </cacheField>
    <cacheField name="SUBSIDIO MWh - TV" numFmtId="40">
      <sharedItems containsSemiMixedTypes="0" containsString="0" containsNumber="1" minValue="-67.461539999999985" maxValue="107118.03325353673"/>
    </cacheField>
    <cacheField name="SUBSIDIO kW - TN" numFmtId="40">
      <sharedItems containsSemiMixedTypes="0" containsString="0" containsNumber="1" minValue="0" maxValue="33820.052872494758"/>
    </cacheField>
    <cacheField name="SUBSIDIO MWh - TN" numFmtId="40">
      <sharedItems containsSemiMixedTypes="0" containsString="0" containsNumber="1" minValue="-42.790628035363298" maxValue="113881.10455171116"/>
    </cacheField>
    <cacheField name="TIPO" numFmtId="0">
      <sharedItems containsBlank="1" count="5">
        <s v="SUBSIDIO CARGA FONTE INCENTIVADA"/>
        <s v="SUBSIDIO ÁGUA, ESGOTO E SANEAMENTO"/>
        <m/>
        <s v="SUBSIDIO BAIXA RENDA"/>
        <s v="SUBSIDIO RURAL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s v="Regular"/>
    <x v="0"/>
    <x v="0"/>
    <x v="0"/>
    <x v="0"/>
    <x v="0"/>
    <x v="0"/>
    <x v="0"/>
    <x v="0"/>
    <n v="0"/>
    <n v="0"/>
    <n v="17.443999999999999"/>
    <n v="17.443999999999999"/>
    <n v="17.443999999999999"/>
    <n v="17.443999999999999"/>
    <n v="0"/>
    <x v="0"/>
    <n v="0"/>
    <n v="0"/>
    <n v="40"/>
    <n v="65"/>
    <n v="0"/>
    <n v="93.48"/>
    <n v="221.6"/>
    <m/>
    <n v="130.67486733178526"/>
    <n v="370.68018829502824"/>
    <n v="0"/>
    <n v="1630.6651199999999"/>
    <n v="3865.5903999999996"/>
    <n v="0"/>
    <n v="2279.4923857356621"/>
    <n v="6466.1452046184722"/>
  </r>
  <r>
    <s v="Regular"/>
    <x v="0"/>
    <x v="0"/>
    <x v="0"/>
    <x v="0"/>
    <x v="0"/>
    <x v="0"/>
    <x v="0"/>
    <x v="1"/>
    <n v="0"/>
    <n v="0"/>
    <n v="22.548999999999999"/>
    <n v="22.548999999999999"/>
    <n v="22.548999999999999"/>
    <n v="22.548999999999999"/>
    <n v="0"/>
    <x v="0"/>
    <n v="0"/>
    <n v="0"/>
    <n v="40"/>
    <n v="65"/>
    <n v="0"/>
    <n v="93.48"/>
    <n v="221.6"/>
    <m/>
    <n v="130.67486733178526"/>
    <n v="370.68018829502824"/>
    <n v="0"/>
    <n v="2107.8805200000002"/>
    <n v="4996.8584000000001"/>
    <n v="0"/>
    <n v="2946.5875834644257"/>
    <n v="8358.467565864592"/>
  </r>
  <r>
    <s v="Regular"/>
    <x v="0"/>
    <x v="0"/>
    <x v="0"/>
    <x v="0"/>
    <x v="0"/>
    <x v="0"/>
    <x v="0"/>
    <x v="2"/>
    <n v="0"/>
    <n v="0"/>
    <n v="20.863"/>
    <n v="20.863"/>
    <n v="20.863"/>
    <n v="20.863"/>
    <n v="0"/>
    <x v="0"/>
    <n v="0"/>
    <n v="0"/>
    <n v="40"/>
    <n v="65"/>
    <n v="0"/>
    <n v="93.48"/>
    <n v="221.6"/>
    <m/>
    <n v="130.67486733178526"/>
    <n v="370.68018829502824"/>
    <n v="0"/>
    <n v="1950.27324"/>
    <n v="4623.2407999999996"/>
    <n v="0"/>
    <n v="2726.2697571430358"/>
    <n v="7733.5007683991744"/>
  </r>
  <r>
    <s v="Regular"/>
    <x v="0"/>
    <x v="0"/>
    <x v="0"/>
    <x v="0"/>
    <x v="0"/>
    <x v="0"/>
    <x v="0"/>
    <x v="3"/>
    <n v="0"/>
    <n v="0"/>
    <n v="18.707999999999998"/>
    <n v="18.707999999999998"/>
    <n v="18.707999999999998"/>
    <n v="18.707999999999998"/>
    <n v="0"/>
    <x v="0"/>
    <n v="0"/>
    <n v="0"/>
    <n v="40"/>
    <n v="65"/>
    <n v="0"/>
    <n v="93.48"/>
    <n v="221.6"/>
    <m/>
    <n v="130.67486733178526"/>
    <n v="370.68018829502824"/>
    <n v="0"/>
    <n v="1748.82384"/>
    <n v="4145.6927999999998"/>
    <n v="0"/>
    <n v="2444.6654180430387"/>
    <n v="6934.6849626233879"/>
  </r>
  <r>
    <s v="Regular"/>
    <x v="0"/>
    <x v="0"/>
    <x v="0"/>
    <x v="0"/>
    <x v="0"/>
    <x v="0"/>
    <x v="0"/>
    <x v="4"/>
    <n v="0"/>
    <n v="0"/>
    <n v="20.568999999999999"/>
    <n v="20.568999999999999"/>
    <n v="20.568999999999999"/>
    <n v="20.568999999999999"/>
    <n v="0"/>
    <x v="0"/>
    <n v="0"/>
    <n v="0"/>
    <n v="40"/>
    <n v="65"/>
    <n v="0"/>
    <n v="93.48"/>
    <n v="221.6"/>
    <m/>
    <n v="130.67486733178526"/>
    <n v="370.68018829502824"/>
    <n v="0"/>
    <n v="1922.7901199999999"/>
    <n v="4558.0904"/>
    <n v="0"/>
    <n v="2687.8513461474909"/>
    <n v="7624.5207930404358"/>
  </r>
  <r>
    <s v="Regular"/>
    <x v="0"/>
    <x v="0"/>
    <x v="0"/>
    <x v="0"/>
    <x v="0"/>
    <x v="0"/>
    <x v="0"/>
    <x v="5"/>
    <n v="0"/>
    <n v="0"/>
    <n v="20.474"/>
    <n v="20.474"/>
    <n v="20.474"/>
    <n v="20.474"/>
    <n v="0"/>
    <x v="0"/>
    <n v="0"/>
    <n v="0"/>
    <n v="40"/>
    <n v="65"/>
    <n v="0"/>
    <n v="93.48"/>
    <n v="221.6"/>
    <m/>
    <n v="130.67486733178526"/>
    <n v="370.68018829502824"/>
    <n v="0"/>
    <n v="1913.9095200000002"/>
    <n v="4537.0384000000004"/>
    <n v="0"/>
    <n v="2675.4372337509717"/>
    <n v="7589.3061751524083"/>
  </r>
  <r>
    <s v="Regular"/>
    <x v="0"/>
    <x v="0"/>
    <x v="0"/>
    <x v="0"/>
    <x v="0"/>
    <x v="0"/>
    <x v="0"/>
    <x v="6"/>
    <n v="0"/>
    <n v="0"/>
    <n v="20.995000000000001"/>
    <n v="20.995000000000001"/>
    <n v="20.995000000000001"/>
    <n v="20.995000000000001"/>
    <n v="0"/>
    <x v="0"/>
    <n v="0"/>
    <n v="0"/>
    <n v="40"/>
    <n v="65"/>
    <n v="0"/>
    <n v="93.48"/>
    <n v="221.6"/>
    <m/>
    <n v="130.67486733178526"/>
    <n v="370.68018829502824"/>
    <n v="0"/>
    <n v="1962.6126000000002"/>
    <n v="4652.4920000000002"/>
    <n v="0"/>
    <n v="2743.5188396308317"/>
    <n v="7782.4305532541184"/>
  </r>
  <r>
    <s v="Regular"/>
    <x v="0"/>
    <x v="0"/>
    <x v="0"/>
    <x v="0"/>
    <x v="0"/>
    <x v="0"/>
    <x v="0"/>
    <x v="7"/>
    <n v="0"/>
    <n v="0"/>
    <n v="17.364000000000001"/>
    <n v="17.364000000000001"/>
    <n v="17.364000000000001"/>
    <n v="17.364000000000001"/>
    <n v="0"/>
    <x v="0"/>
    <n v="0"/>
    <n v="0"/>
    <n v="40"/>
    <n v="65"/>
    <n v="0"/>
    <n v="93.48"/>
    <n v="221.6"/>
    <m/>
    <n v="130.67486733178526"/>
    <n v="370.68018829502824"/>
    <n v="0"/>
    <n v="1623.1867200000002"/>
    <n v="3847.8624"/>
    <n v="0"/>
    <n v="2269.0383963491195"/>
    <n v="6436.4907895548704"/>
  </r>
  <r>
    <s v="Regular"/>
    <x v="0"/>
    <x v="0"/>
    <x v="0"/>
    <x v="0"/>
    <x v="0"/>
    <x v="0"/>
    <x v="0"/>
    <x v="8"/>
    <n v="0"/>
    <n v="0"/>
    <n v="22.233000000000001"/>
    <n v="22.233000000000001"/>
    <n v="22.233000000000001"/>
    <n v="22.233000000000001"/>
    <n v="0"/>
    <x v="0"/>
    <n v="0"/>
    <n v="0"/>
    <n v="40"/>
    <n v="65"/>
    <n v="0"/>
    <n v="93.48"/>
    <n v="221.6"/>
    <m/>
    <n v="130.67486733178526"/>
    <n v="370.68018829502824"/>
    <n v="0"/>
    <n v="2078.3408400000003"/>
    <n v="4926.8328000000001"/>
    <n v="0"/>
    <n v="2905.2943253875819"/>
    <n v="8241.3326263633626"/>
  </r>
  <r>
    <s v="Regular"/>
    <x v="0"/>
    <x v="0"/>
    <x v="0"/>
    <x v="0"/>
    <x v="0"/>
    <x v="0"/>
    <x v="0"/>
    <x v="9"/>
    <n v="0"/>
    <n v="0"/>
    <n v="21.067"/>
    <n v="21.067"/>
    <n v="21.067"/>
    <n v="21.067"/>
    <n v="0"/>
    <x v="0"/>
    <n v="0"/>
    <n v="0"/>
    <n v="40"/>
    <n v="65"/>
    <n v="0"/>
    <n v="93.48"/>
    <n v="221.6"/>
    <m/>
    <n v="130.67486733178526"/>
    <n v="370.68018829502824"/>
    <n v="0"/>
    <n v="1969.3431600000001"/>
    <n v="4668.4471999999996"/>
    <n v="0"/>
    <n v="2752.9274300787201"/>
    <n v="7809.1195268113597"/>
  </r>
  <r>
    <s v="Regular"/>
    <x v="0"/>
    <x v="0"/>
    <x v="0"/>
    <x v="0"/>
    <x v="0"/>
    <x v="0"/>
    <x v="0"/>
    <x v="10"/>
    <n v="0"/>
    <n v="0"/>
    <n v="18.992000000000001"/>
    <n v="18.992000000000001"/>
    <n v="18.992000000000001"/>
    <n v="18.992000000000001"/>
    <n v="0"/>
    <x v="0"/>
    <n v="0"/>
    <n v="0"/>
    <n v="40"/>
    <n v="65"/>
    <n v="0"/>
    <n v="93.48"/>
    <n v="221.6"/>
    <m/>
    <n v="130.67486733178526"/>
    <n v="370.68018829502824"/>
    <n v="0"/>
    <n v="1775.3721600000001"/>
    <n v="4208.6271999999999"/>
    <n v="0"/>
    <n v="2481.7770803652656"/>
    <n v="7039.958136099177"/>
  </r>
  <r>
    <s v="Regular"/>
    <x v="0"/>
    <x v="0"/>
    <x v="0"/>
    <x v="0"/>
    <x v="0"/>
    <x v="0"/>
    <x v="0"/>
    <x v="11"/>
    <n v="0"/>
    <n v="0"/>
    <n v="23.460999999999999"/>
    <n v="23.460999999999999"/>
    <n v="23.460999999999999"/>
    <n v="23.460999999999999"/>
    <n v="0"/>
    <x v="0"/>
    <n v="0"/>
    <n v="0"/>
    <n v="40"/>
    <n v="65"/>
    <n v="0"/>
    <n v="93.48"/>
    <n v="221.6"/>
    <m/>
    <n v="130.67486733178526"/>
    <n v="370.68018829502824"/>
    <n v="0"/>
    <n v="2193.1342799999998"/>
    <n v="5198.9575999999997"/>
    <n v="0"/>
    <n v="3065.7630624710141"/>
    <n v="8696.5278975896563"/>
  </r>
  <r>
    <s v="Regular"/>
    <x v="0"/>
    <x v="0"/>
    <x v="0"/>
    <x v="0"/>
    <x v="0"/>
    <x v="0"/>
    <x v="1"/>
    <x v="0"/>
    <n v="110"/>
    <n v="110"/>
    <n v="0"/>
    <n v="0"/>
    <n v="0"/>
    <n v="0"/>
    <n v="1"/>
    <x v="0"/>
    <n v="0"/>
    <n v="47"/>
    <n v="0"/>
    <n v="0"/>
    <n v="29.84"/>
    <n v="0"/>
    <n v="0"/>
    <n v="32.209574164280724"/>
    <m/>
    <m/>
    <n v="3282.4"/>
    <n v="0"/>
    <n v="0"/>
    <n v="3543.0531580708798"/>
    <n v="0"/>
    <n v="0"/>
  </r>
  <r>
    <s v="Regular"/>
    <x v="0"/>
    <x v="0"/>
    <x v="0"/>
    <x v="0"/>
    <x v="0"/>
    <x v="0"/>
    <x v="1"/>
    <x v="1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2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3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4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5"/>
    <n v="206"/>
    <n v="206"/>
    <n v="0"/>
    <n v="0"/>
    <n v="0"/>
    <n v="0"/>
    <n v="1"/>
    <x v="0"/>
    <n v="0"/>
    <n v="47"/>
    <n v="0"/>
    <n v="0"/>
    <n v="29.84"/>
    <n v="0"/>
    <n v="0"/>
    <n v="32.209574164280724"/>
    <m/>
    <m/>
    <n v="6147.04"/>
    <n v="0"/>
    <n v="0"/>
    <n v="6635.1722778418289"/>
    <n v="0"/>
    <n v="0"/>
  </r>
  <r>
    <s v="Regular"/>
    <x v="0"/>
    <x v="0"/>
    <x v="0"/>
    <x v="0"/>
    <x v="0"/>
    <x v="0"/>
    <x v="1"/>
    <x v="6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7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8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9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10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1"/>
    <x v="11"/>
    <n v="200"/>
    <n v="200"/>
    <n v="0"/>
    <n v="0"/>
    <n v="0"/>
    <n v="0"/>
    <n v="1"/>
    <x v="0"/>
    <n v="0"/>
    <n v="47"/>
    <n v="0"/>
    <n v="0"/>
    <n v="29.84"/>
    <n v="0"/>
    <n v="0"/>
    <n v="32.209574164280724"/>
    <m/>
    <m/>
    <n v="5968"/>
    <n v="0"/>
    <n v="0"/>
    <n v="6441.914832856145"/>
    <n v="0"/>
    <n v="0"/>
  </r>
  <r>
    <s v="Regular"/>
    <x v="0"/>
    <x v="0"/>
    <x v="0"/>
    <x v="0"/>
    <x v="0"/>
    <x v="0"/>
    <x v="2"/>
    <x v="0"/>
    <n v="0"/>
    <n v="0"/>
    <n v="0.94599999999999995"/>
    <n v="0.94599999999999995"/>
    <n v="0.94599999999999995"/>
    <n v="0.94599999999999995"/>
    <n v="0"/>
    <x v="0"/>
    <n v="0"/>
    <n v="0"/>
    <n v="35"/>
    <n v="79"/>
    <n v="0"/>
    <n v="2389.5"/>
    <n v="221.6"/>
    <m/>
    <n v="2540.3649699415037"/>
    <n v="370.68018829502824"/>
    <n v="0"/>
    <n v="2260.4670000000001"/>
    <n v="209.63359999999997"/>
    <n v="0"/>
    <n v="2403.1852615646621"/>
    <n v="350.6634581270967"/>
  </r>
  <r>
    <s v="Regular"/>
    <x v="0"/>
    <x v="0"/>
    <x v="0"/>
    <x v="0"/>
    <x v="0"/>
    <x v="0"/>
    <x v="2"/>
    <x v="1"/>
    <n v="0"/>
    <n v="0"/>
    <n v="1.093"/>
    <n v="1.093"/>
    <n v="1.093"/>
    <n v="1.093"/>
    <n v="0"/>
    <x v="0"/>
    <n v="0"/>
    <n v="0"/>
    <n v="35"/>
    <n v="79"/>
    <n v="0"/>
    <n v="2389.5"/>
    <n v="221.6"/>
    <m/>
    <n v="2540.3649699415037"/>
    <n v="370.68018829502824"/>
    <n v="0"/>
    <n v="2611.7235000000001"/>
    <n v="242.2088"/>
    <n v="0"/>
    <n v="2776.6189121460634"/>
    <n v="405.15344580646587"/>
  </r>
  <r>
    <s v="Regular"/>
    <x v="0"/>
    <x v="0"/>
    <x v="0"/>
    <x v="0"/>
    <x v="0"/>
    <x v="0"/>
    <x v="2"/>
    <x v="2"/>
    <n v="0"/>
    <n v="0"/>
    <n v="0.90100000000000002"/>
    <n v="0.90100000000000002"/>
    <n v="0.90100000000000002"/>
    <n v="0.90100000000000002"/>
    <n v="0"/>
    <x v="0"/>
    <n v="0"/>
    <n v="0"/>
    <n v="35"/>
    <n v="79"/>
    <n v="0"/>
    <n v="2389.5"/>
    <n v="221.6"/>
    <m/>
    <n v="2540.3649699415037"/>
    <n v="370.68018829502824"/>
    <n v="0"/>
    <n v="2152.9395"/>
    <n v="199.66159999999999"/>
    <n v="0"/>
    <n v="2288.868837917295"/>
    <n v="333.98284965382044"/>
  </r>
  <r>
    <s v="Regular"/>
    <x v="0"/>
    <x v="0"/>
    <x v="0"/>
    <x v="0"/>
    <x v="0"/>
    <x v="0"/>
    <x v="2"/>
    <x v="3"/>
    <n v="0"/>
    <n v="0"/>
    <n v="1.032"/>
    <n v="1.032"/>
    <n v="1.032"/>
    <n v="1.032"/>
    <n v="0"/>
    <x v="0"/>
    <n v="0"/>
    <n v="0"/>
    <n v="35"/>
    <n v="79"/>
    <n v="0"/>
    <n v="2389.5"/>
    <n v="221.6"/>
    <m/>
    <n v="2540.3649699415037"/>
    <n v="370.68018829502824"/>
    <n v="0"/>
    <n v="2465.9639999999999"/>
    <n v="228.69120000000001"/>
    <n v="0"/>
    <n v="2621.6566489796319"/>
    <n v="382.54195432046913"/>
  </r>
  <r>
    <s v="Regular"/>
    <x v="0"/>
    <x v="0"/>
    <x v="0"/>
    <x v="0"/>
    <x v="0"/>
    <x v="0"/>
    <x v="2"/>
    <x v="4"/>
    <n v="0"/>
    <n v="0"/>
    <n v="0.98199999999999998"/>
    <n v="0.98199999999999998"/>
    <n v="0.98199999999999998"/>
    <n v="0.98199999999999998"/>
    <n v="0"/>
    <x v="0"/>
    <n v="0"/>
    <n v="0"/>
    <n v="35"/>
    <n v="79"/>
    <n v="0"/>
    <n v="2389.5"/>
    <n v="221.6"/>
    <m/>
    <n v="2540.3649699415037"/>
    <n v="370.68018829502824"/>
    <n v="0"/>
    <n v="2346.489"/>
    <n v="217.6112"/>
    <n v="0"/>
    <n v="2494.6384004825563"/>
    <n v="364.00794490571775"/>
  </r>
  <r>
    <s v="Regular"/>
    <x v="0"/>
    <x v="0"/>
    <x v="0"/>
    <x v="0"/>
    <x v="0"/>
    <x v="0"/>
    <x v="2"/>
    <x v="5"/>
    <n v="0"/>
    <n v="0"/>
    <n v="0.85699999999999998"/>
    <n v="0.85699999999999998"/>
    <n v="0.85699999999999998"/>
    <n v="0.85699999999999998"/>
    <n v="0"/>
    <x v="0"/>
    <n v="0"/>
    <n v="0"/>
    <n v="35"/>
    <n v="79"/>
    <n v="0"/>
    <n v="2389.5"/>
    <n v="221.6"/>
    <m/>
    <n v="2540.3649699415037"/>
    <n v="370.68018829502824"/>
    <n v="0"/>
    <n v="2047.8015"/>
    <n v="189.91119999999998"/>
    <n v="0"/>
    <n v="2177.0927792398684"/>
    <n v="317.67292136883918"/>
  </r>
  <r>
    <s v="Regular"/>
    <x v="0"/>
    <x v="0"/>
    <x v="0"/>
    <x v="0"/>
    <x v="0"/>
    <x v="0"/>
    <x v="2"/>
    <x v="6"/>
    <n v="0"/>
    <n v="0"/>
    <n v="1.0409999999999999"/>
    <n v="1.0409999999999999"/>
    <n v="1.0409999999999999"/>
    <n v="1.0409999999999999"/>
    <n v="0"/>
    <x v="0"/>
    <n v="0"/>
    <n v="0"/>
    <n v="35"/>
    <n v="79"/>
    <n v="0"/>
    <n v="2389.5"/>
    <n v="221.6"/>
    <m/>
    <n v="2540.3649699415037"/>
    <n v="370.68018829502824"/>
    <n v="0"/>
    <n v="2487.4694999999997"/>
    <n v="230.68559999999997"/>
    <n v="0"/>
    <n v="2644.5199337091053"/>
    <n v="385.87807601512435"/>
  </r>
  <r>
    <s v="Regular"/>
    <x v="0"/>
    <x v="0"/>
    <x v="0"/>
    <x v="0"/>
    <x v="0"/>
    <x v="0"/>
    <x v="2"/>
    <x v="7"/>
    <n v="0"/>
    <n v="0"/>
    <n v="0.8"/>
    <n v="0.8"/>
    <n v="0.8"/>
    <n v="0.8"/>
    <n v="0"/>
    <x v="0"/>
    <n v="0"/>
    <n v="0"/>
    <n v="35"/>
    <n v="79"/>
    <n v="0"/>
    <n v="2389.5"/>
    <n v="221.6"/>
    <m/>
    <n v="2540.3649699415037"/>
    <n v="370.68018829502824"/>
    <n v="0"/>
    <n v="1911.6000000000001"/>
    <n v="177.28"/>
    <n v="0"/>
    <n v="2032.2919759532031"/>
    <n v="296.54415063602261"/>
  </r>
  <r>
    <s v="Regular"/>
    <x v="0"/>
    <x v="0"/>
    <x v="0"/>
    <x v="0"/>
    <x v="0"/>
    <x v="0"/>
    <x v="2"/>
    <x v="8"/>
    <n v="0"/>
    <n v="0"/>
    <n v="1.1870000000000001"/>
    <n v="1.1870000000000001"/>
    <n v="1.1870000000000001"/>
    <n v="1.1870000000000001"/>
    <n v="0"/>
    <x v="0"/>
    <n v="0"/>
    <n v="0"/>
    <n v="35"/>
    <n v="79"/>
    <n v="0"/>
    <n v="2389.5"/>
    <n v="221.6"/>
    <m/>
    <n v="2540.3649699415037"/>
    <n v="370.68018829502824"/>
    <n v="0"/>
    <n v="2836.3365000000003"/>
    <n v="263.03919999999999"/>
    <n v="0"/>
    <n v="3015.4132193205651"/>
    <n v="439.99738350619856"/>
  </r>
  <r>
    <s v="Regular"/>
    <x v="0"/>
    <x v="0"/>
    <x v="0"/>
    <x v="0"/>
    <x v="0"/>
    <x v="0"/>
    <x v="2"/>
    <x v="9"/>
    <n v="0"/>
    <n v="0"/>
    <n v="1.383"/>
    <n v="1.383"/>
    <n v="1.383"/>
    <n v="1.383"/>
    <n v="0"/>
    <x v="0"/>
    <n v="0"/>
    <n v="0"/>
    <n v="35"/>
    <n v="79"/>
    <n v="0"/>
    <n v="2389.5"/>
    <n v="221.6"/>
    <m/>
    <n v="2540.3649699415037"/>
    <n v="370.68018829502824"/>
    <n v="0"/>
    <n v="3304.6785"/>
    <n v="306.47280000000001"/>
    <n v="0"/>
    <n v="3513.3247534290995"/>
    <n v="512.65070041202409"/>
  </r>
  <r>
    <s v="Regular"/>
    <x v="0"/>
    <x v="0"/>
    <x v="0"/>
    <x v="0"/>
    <x v="0"/>
    <x v="0"/>
    <x v="2"/>
    <x v="10"/>
    <n v="0"/>
    <n v="0"/>
    <n v="1.492"/>
    <n v="1.492"/>
    <n v="1.492"/>
    <n v="1.492"/>
    <n v="0"/>
    <x v="0"/>
    <n v="0"/>
    <n v="0"/>
    <n v="35"/>
    <n v="79"/>
    <n v="0"/>
    <n v="2389.5"/>
    <n v="221.6"/>
    <m/>
    <n v="2540.3649699415037"/>
    <n v="370.68018829502824"/>
    <n v="0"/>
    <n v="3565.134"/>
    <n v="330.62720000000002"/>
    <n v="0"/>
    <n v="3790.2245351527235"/>
    <n v="553.05484093618213"/>
  </r>
  <r>
    <s v="Regular"/>
    <x v="0"/>
    <x v="0"/>
    <x v="0"/>
    <x v="0"/>
    <x v="0"/>
    <x v="0"/>
    <x v="2"/>
    <x v="11"/>
    <n v="0"/>
    <n v="0"/>
    <n v="1.9319999999999999"/>
    <n v="1.9319999999999999"/>
    <n v="1.9319999999999999"/>
    <n v="1.9319999999999999"/>
    <n v="0"/>
    <x v="0"/>
    <n v="0"/>
    <n v="0"/>
    <n v="35"/>
    <n v="79"/>
    <n v="0"/>
    <n v="2389.5"/>
    <n v="221.6"/>
    <m/>
    <n v="2540.3649699415037"/>
    <n v="370.68018829502824"/>
    <n v="0"/>
    <n v="4616.5140000000001"/>
    <n v="428.13119999999998"/>
    <n v="0"/>
    <n v="4907.9851219269849"/>
    <n v="716.15412378599456"/>
  </r>
  <r>
    <s v="Regular"/>
    <x v="0"/>
    <x v="0"/>
    <x v="1"/>
    <x v="0"/>
    <x v="1"/>
    <x v="0"/>
    <x v="0"/>
    <x v="0"/>
    <n v="0"/>
    <n v="0"/>
    <n v="794.00699999999995"/>
    <n v="794.00699999999995"/>
    <n v="0"/>
    <n v="0"/>
    <n v="0"/>
    <x v="1"/>
    <n v="0"/>
    <n v="0"/>
    <n v="40"/>
    <n v="0"/>
    <n v="0"/>
    <n v="93.48"/>
    <n v="0"/>
    <m/>
    <n v="130.67486733178526"/>
    <m/>
    <n v="0"/>
    <n v="74223.774359999996"/>
    <n v="0"/>
    <n v="0"/>
    <n v="103756.75938550882"/>
    <n v="0"/>
  </r>
  <r>
    <s v="Regular"/>
    <x v="0"/>
    <x v="0"/>
    <x v="1"/>
    <x v="0"/>
    <x v="1"/>
    <x v="0"/>
    <x v="0"/>
    <x v="1"/>
    <n v="0"/>
    <n v="0"/>
    <n v="755.34"/>
    <n v="755.34"/>
    <n v="0"/>
    <n v="0"/>
    <n v="0"/>
    <x v="1"/>
    <n v="0"/>
    <n v="0"/>
    <n v="40"/>
    <n v="0"/>
    <n v="0"/>
    <n v="93.48"/>
    <n v="0"/>
    <m/>
    <n v="130.67486733178526"/>
    <m/>
    <n v="0"/>
    <n v="70609.183199999999"/>
    <n v="0"/>
    <n v="0"/>
    <n v="98703.954290390684"/>
    <n v="0"/>
  </r>
  <r>
    <s v="Regular"/>
    <x v="0"/>
    <x v="0"/>
    <x v="1"/>
    <x v="0"/>
    <x v="1"/>
    <x v="0"/>
    <x v="0"/>
    <x v="2"/>
    <n v="0"/>
    <n v="0"/>
    <n v="779.74400000000003"/>
    <n v="779.74400000000003"/>
    <n v="0"/>
    <n v="0"/>
    <n v="0"/>
    <x v="1"/>
    <n v="0"/>
    <n v="0"/>
    <n v="40"/>
    <n v="0"/>
    <n v="0"/>
    <n v="93.48"/>
    <n v="0"/>
    <m/>
    <n v="130.67486733178526"/>
    <m/>
    <n v="0"/>
    <n v="72890.469120000009"/>
    <n v="0"/>
    <n v="0"/>
    <n v="101892.94375275557"/>
    <n v="0"/>
  </r>
  <r>
    <s v="Regular"/>
    <x v="0"/>
    <x v="0"/>
    <x v="1"/>
    <x v="0"/>
    <x v="1"/>
    <x v="0"/>
    <x v="0"/>
    <x v="3"/>
    <n v="0"/>
    <n v="0"/>
    <n v="868.61800000000005"/>
    <n v="868.61800000000005"/>
    <n v="0"/>
    <n v="0"/>
    <n v="0"/>
    <x v="1"/>
    <n v="0"/>
    <n v="0"/>
    <n v="40"/>
    <n v="0"/>
    <n v="0"/>
    <n v="93.48"/>
    <n v="0"/>
    <m/>
    <n v="130.67486733178526"/>
    <m/>
    <n v="0"/>
    <n v="81198.410640000002"/>
    <n v="0"/>
    <n v="0"/>
    <n v="113506.54191200066"/>
    <n v="0"/>
  </r>
  <r>
    <s v="Regular"/>
    <x v="0"/>
    <x v="0"/>
    <x v="1"/>
    <x v="0"/>
    <x v="1"/>
    <x v="0"/>
    <x v="0"/>
    <x v="4"/>
    <n v="0"/>
    <n v="0"/>
    <n v="868.58399999999995"/>
    <n v="868.58399999999995"/>
    <n v="0"/>
    <n v="0"/>
    <n v="0"/>
    <x v="1"/>
    <n v="0"/>
    <n v="0"/>
    <n v="40"/>
    <n v="0"/>
    <n v="0"/>
    <n v="93.48"/>
    <n v="0"/>
    <m/>
    <n v="130.67486733178526"/>
    <m/>
    <n v="0"/>
    <n v="81195.232319999996"/>
    <n v="0"/>
    <n v="0"/>
    <n v="113502.09896651136"/>
    <n v="0"/>
  </r>
  <r>
    <s v="Regular"/>
    <x v="0"/>
    <x v="0"/>
    <x v="1"/>
    <x v="0"/>
    <x v="1"/>
    <x v="0"/>
    <x v="0"/>
    <x v="5"/>
    <n v="0"/>
    <n v="0"/>
    <n v="819.54899999999998"/>
    <n v="819.54899999999998"/>
    <n v="0"/>
    <n v="0"/>
    <n v="0"/>
    <x v="1"/>
    <n v="0"/>
    <n v="0"/>
    <n v="40"/>
    <n v="0"/>
    <n v="0"/>
    <n v="93.48"/>
    <n v="0"/>
    <m/>
    <n v="130.67486733178526"/>
    <m/>
    <n v="0"/>
    <n v="76611.440520000004"/>
    <n v="0"/>
    <n v="0"/>
    <n v="107094.45684689727"/>
    <n v="0"/>
  </r>
  <r>
    <s v="Regular"/>
    <x v="0"/>
    <x v="0"/>
    <x v="1"/>
    <x v="0"/>
    <x v="1"/>
    <x v="0"/>
    <x v="0"/>
    <x v="6"/>
    <n v="0"/>
    <n v="0"/>
    <n v="830.31600000000003"/>
    <n v="830.31600000000003"/>
    <n v="0"/>
    <n v="0"/>
    <n v="0"/>
    <x v="1"/>
    <n v="0"/>
    <n v="0"/>
    <n v="40"/>
    <n v="0"/>
    <n v="0"/>
    <n v="93.48"/>
    <n v="0"/>
    <m/>
    <n v="130.67486733178526"/>
    <m/>
    <n v="0"/>
    <n v="77617.93968000001"/>
    <n v="0"/>
    <n v="0"/>
    <n v="108501.43314345862"/>
    <n v="0"/>
  </r>
  <r>
    <s v="Regular"/>
    <x v="0"/>
    <x v="0"/>
    <x v="1"/>
    <x v="0"/>
    <x v="1"/>
    <x v="0"/>
    <x v="0"/>
    <x v="7"/>
    <n v="0"/>
    <n v="0"/>
    <n v="790.26300000000003"/>
    <n v="790.26300000000003"/>
    <n v="0"/>
    <n v="0"/>
    <n v="0"/>
    <x v="1"/>
    <n v="0"/>
    <n v="0"/>
    <n v="40"/>
    <n v="0"/>
    <n v="0"/>
    <n v="93.48"/>
    <n v="0"/>
    <m/>
    <n v="130.67486733178526"/>
    <m/>
    <n v="0"/>
    <n v="73873.785240000012"/>
    <n v="0"/>
    <n v="0"/>
    <n v="103267.51268221863"/>
    <n v="0"/>
  </r>
  <r>
    <s v="Regular"/>
    <x v="0"/>
    <x v="0"/>
    <x v="1"/>
    <x v="0"/>
    <x v="1"/>
    <x v="0"/>
    <x v="0"/>
    <x v="8"/>
    <n v="0"/>
    <n v="0"/>
    <n v="822.077"/>
    <n v="822.077"/>
    <n v="0"/>
    <n v="0"/>
    <n v="0"/>
    <x v="1"/>
    <n v="0"/>
    <n v="0"/>
    <n v="40"/>
    <n v="0"/>
    <n v="0"/>
    <n v="93.48"/>
    <n v="0"/>
    <m/>
    <n v="130.67486733178526"/>
    <m/>
    <n v="0"/>
    <n v="76847.757960000003"/>
    <n v="0"/>
    <n v="0"/>
    <n v="107424.80291151203"/>
    <n v="0"/>
  </r>
  <r>
    <s v="Regular"/>
    <x v="0"/>
    <x v="0"/>
    <x v="1"/>
    <x v="0"/>
    <x v="1"/>
    <x v="0"/>
    <x v="0"/>
    <x v="9"/>
    <n v="0"/>
    <n v="0"/>
    <n v="778.07399999999996"/>
    <n v="778.07399999999996"/>
    <n v="0"/>
    <n v="0"/>
    <n v="0"/>
    <x v="1"/>
    <n v="0"/>
    <n v="0"/>
    <n v="40"/>
    <n v="0"/>
    <n v="0"/>
    <n v="93.48"/>
    <n v="0"/>
    <m/>
    <n v="130.67486733178526"/>
    <m/>
    <n v="0"/>
    <n v="72734.357520000005"/>
    <n v="0"/>
    <n v="0"/>
    <n v="101674.71672431148"/>
    <n v="0"/>
  </r>
  <r>
    <s v="Regular"/>
    <x v="0"/>
    <x v="0"/>
    <x v="1"/>
    <x v="0"/>
    <x v="1"/>
    <x v="0"/>
    <x v="0"/>
    <x v="10"/>
    <n v="0"/>
    <n v="0"/>
    <n v="897.19799999999998"/>
    <n v="897.19799999999998"/>
    <n v="0"/>
    <n v="0"/>
    <n v="0"/>
    <x v="1"/>
    <n v="0"/>
    <n v="0"/>
    <n v="40"/>
    <n v="0"/>
    <n v="0"/>
    <n v="93.48"/>
    <n v="0"/>
    <m/>
    <n v="130.67486733178526"/>
    <m/>
    <n v="0"/>
    <n v="83870.069040000002"/>
    <n v="0"/>
    <n v="0"/>
    <n v="117241.22962034307"/>
    <n v="0"/>
  </r>
  <r>
    <s v="Regular"/>
    <x v="0"/>
    <x v="0"/>
    <x v="1"/>
    <x v="0"/>
    <x v="1"/>
    <x v="0"/>
    <x v="0"/>
    <x v="11"/>
    <n v="0"/>
    <n v="0"/>
    <n v="874.66499999999996"/>
    <n v="874.66499999999996"/>
    <n v="0"/>
    <n v="0"/>
    <n v="0"/>
    <x v="1"/>
    <n v="0"/>
    <n v="0"/>
    <n v="40"/>
    <n v="0"/>
    <n v="0"/>
    <n v="93.48"/>
    <n v="0"/>
    <m/>
    <n v="130.67486733178526"/>
    <m/>
    <n v="0"/>
    <n v="81763.684200000003"/>
    <n v="0"/>
    <n v="0"/>
    <n v="114296.73283475595"/>
    <n v="0"/>
  </r>
  <r>
    <s v="Regular"/>
    <x v="0"/>
    <x v="0"/>
    <x v="1"/>
    <x v="0"/>
    <x v="1"/>
    <x v="0"/>
    <x v="1"/>
    <x v="0"/>
    <n v="2100"/>
    <n v="2100"/>
    <n v="0"/>
    <n v="0"/>
    <n v="0"/>
    <n v="0"/>
    <n v="1"/>
    <x v="1"/>
    <n v="0"/>
    <n v="47"/>
    <n v="0"/>
    <n v="0"/>
    <n v="29.84"/>
    <n v="0"/>
    <n v="0"/>
    <n v="32.209574164280724"/>
    <m/>
    <m/>
    <n v="62664"/>
    <n v="0"/>
    <n v="0"/>
    <n v="67640.105744989516"/>
    <n v="0"/>
    <n v="0"/>
  </r>
  <r>
    <s v="Regular"/>
    <x v="0"/>
    <x v="0"/>
    <x v="1"/>
    <x v="0"/>
    <x v="1"/>
    <x v="0"/>
    <x v="1"/>
    <x v="1"/>
    <n v="2100"/>
    <n v="2100"/>
    <n v="0"/>
    <n v="0"/>
    <n v="0"/>
    <n v="0"/>
    <n v="1"/>
    <x v="1"/>
    <n v="0"/>
    <n v="47"/>
    <n v="0"/>
    <n v="0"/>
    <n v="29.84"/>
    <n v="0"/>
    <n v="0"/>
    <n v="32.209574164280724"/>
    <m/>
    <m/>
    <n v="62664"/>
    <n v="0"/>
    <n v="0"/>
    <n v="67640.105744989516"/>
    <n v="0"/>
    <n v="0"/>
  </r>
  <r>
    <s v="Regular"/>
    <x v="0"/>
    <x v="0"/>
    <x v="1"/>
    <x v="0"/>
    <x v="1"/>
    <x v="0"/>
    <x v="1"/>
    <x v="2"/>
    <n v="2100"/>
    <n v="2100"/>
    <n v="0"/>
    <n v="0"/>
    <n v="0"/>
    <n v="0"/>
    <n v="1"/>
    <x v="1"/>
    <n v="0"/>
    <n v="47"/>
    <n v="0"/>
    <n v="0"/>
    <n v="29.84"/>
    <n v="0"/>
    <n v="0"/>
    <n v="32.209574164280724"/>
    <m/>
    <m/>
    <n v="62664"/>
    <n v="0"/>
    <n v="0"/>
    <n v="67640.105744989516"/>
    <n v="0"/>
    <n v="0"/>
  </r>
  <r>
    <s v="Regular"/>
    <x v="0"/>
    <x v="0"/>
    <x v="1"/>
    <x v="0"/>
    <x v="1"/>
    <x v="0"/>
    <x v="1"/>
    <x v="3"/>
    <n v="2100"/>
    <n v="2100"/>
    <n v="0"/>
    <n v="0"/>
    <n v="0"/>
    <n v="0"/>
    <n v="1"/>
    <x v="1"/>
    <n v="0"/>
    <n v="47"/>
    <n v="0"/>
    <n v="0"/>
    <n v="29.84"/>
    <n v="0"/>
    <n v="0"/>
    <n v="32.209574164280724"/>
    <m/>
    <m/>
    <n v="62664"/>
    <n v="0"/>
    <n v="0"/>
    <n v="67640.105744989516"/>
    <n v="0"/>
    <n v="0"/>
  </r>
  <r>
    <s v="Regular"/>
    <x v="0"/>
    <x v="0"/>
    <x v="1"/>
    <x v="0"/>
    <x v="1"/>
    <x v="0"/>
    <x v="1"/>
    <x v="4"/>
    <n v="2100"/>
    <n v="2100"/>
    <n v="0"/>
    <n v="0"/>
    <n v="0"/>
    <n v="0"/>
    <n v="1"/>
    <x v="1"/>
    <n v="0"/>
    <n v="47"/>
    <n v="0"/>
    <n v="0"/>
    <n v="29.84"/>
    <n v="0"/>
    <n v="0"/>
    <n v="32.209574164280724"/>
    <m/>
    <m/>
    <n v="62664"/>
    <n v="0"/>
    <n v="0"/>
    <n v="67640.105744989516"/>
    <n v="0"/>
    <n v="0"/>
  </r>
  <r>
    <s v="Regular"/>
    <x v="0"/>
    <x v="0"/>
    <x v="1"/>
    <x v="0"/>
    <x v="1"/>
    <x v="0"/>
    <x v="1"/>
    <x v="5"/>
    <n v="2100"/>
    <n v="1055.973387"/>
    <n v="0"/>
    <n v="0"/>
    <n v="0"/>
    <n v="0"/>
    <n v="1"/>
    <x v="1"/>
    <n v="0"/>
    <n v="47"/>
    <n v="0"/>
    <n v="0"/>
    <n v="29.84"/>
    <n v="0"/>
    <n v="0"/>
    <n v="32.209574164280724"/>
    <m/>
    <m/>
    <n v="31510.245868080001"/>
    <n v="0"/>
    <n v="0"/>
    <n v="34012.453124083208"/>
    <n v="0"/>
    <n v="0"/>
  </r>
  <r>
    <s v="Regular"/>
    <x v="0"/>
    <x v="0"/>
    <x v="1"/>
    <x v="0"/>
    <x v="1"/>
    <x v="0"/>
    <x v="1"/>
    <x v="6"/>
    <n v="2100"/>
    <n v="1054.466322"/>
    <n v="0"/>
    <n v="0"/>
    <n v="0"/>
    <n v="0"/>
    <n v="1"/>
    <x v="1"/>
    <n v="0"/>
    <n v="47"/>
    <n v="0"/>
    <n v="0"/>
    <n v="29.84"/>
    <n v="0"/>
    <n v="0"/>
    <n v="32.209574164280724"/>
    <m/>
    <m/>
    <n v="31465.275048479998"/>
    <n v="0"/>
    <n v="0"/>
    <n v="33963.911202195319"/>
    <n v="0"/>
    <n v="0"/>
  </r>
  <r>
    <s v="Regular"/>
    <x v="0"/>
    <x v="0"/>
    <x v="1"/>
    <x v="0"/>
    <x v="1"/>
    <x v="0"/>
    <x v="1"/>
    <x v="7"/>
    <n v="2100"/>
    <n v="1052.4575460000001"/>
    <n v="0"/>
    <n v="0"/>
    <n v="0"/>
    <n v="0"/>
    <n v="1"/>
    <x v="1"/>
    <n v="0"/>
    <n v="47"/>
    <n v="0"/>
    <n v="0"/>
    <n v="29.84"/>
    <n v="0"/>
    <n v="0"/>
    <n v="32.209574164280724"/>
    <m/>
    <m/>
    <n v="31405.333172640003"/>
    <n v="0"/>
    <n v="0"/>
    <n v="33899.209382643894"/>
    <n v="0"/>
    <n v="0"/>
  </r>
  <r>
    <s v="Regular"/>
    <x v="0"/>
    <x v="0"/>
    <x v="1"/>
    <x v="0"/>
    <x v="1"/>
    <x v="0"/>
    <x v="1"/>
    <x v="8"/>
    <n v="2100"/>
    <n v="1050.8292899999999"/>
    <n v="0"/>
    <n v="0"/>
    <n v="0"/>
    <n v="0"/>
    <n v="1"/>
    <x v="1"/>
    <n v="0"/>
    <n v="47"/>
    <n v="0"/>
    <n v="0"/>
    <n v="29.84"/>
    <n v="0"/>
    <n v="0"/>
    <n v="32.209574164280724"/>
    <m/>
    <m/>
    <n v="31356.746013599997"/>
    <n v="0"/>
    <n v="0"/>
    <n v="33846.763950253451"/>
    <n v="0"/>
    <n v="0"/>
  </r>
  <r>
    <s v="Regular"/>
    <x v="0"/>
    <x v="0"/>
    <x v="1"/>
    <x v="0"/>
    <x v="1"/>
    <x v="0"/>
    <x v="1"/>
    <x v="9"/>
    <n v="2100"/>
    <n v="1050.522354"/>
    <n v="0"/>
    <n v="0"/>
    <n v="0"/>
    <n v="0"/>
    <n v="1"/>
    <x v="1"/>
    <n v="0"/>
    <n v="47"/>
    <n v="0"/>
    <n v="0"/>
    <n v="29.84"/>
    <n v="0"/>
    <n v="0"/>
    <n v="32.209574164280724"/>
    <m/>
    <m/>
    <n v="31347.587043359999"/>
    <n v="0"/>
    <n v="0"/>
    <n v="33836.877672397764"/>
    <n v="0"/>
    <n v="0"/>
  </r>
  <r>
    <s v="Regular"/>
    <x v="0"/>
    <x v="0"/>
    <x v="1"/>
    <x v="0"/>
    <x v="1"/>
    <x v="0"/>
    <x v="1"/>
    <x v="10"/>
    <n v="2100"/>
    <n v="1050"/>
    <n v="0"/>
    <n v="0"/>
    <n v="0"/>
    <n v="0"/>
    <n v="1"/>
    <x v="1"/>
    <n v="0"/>
    <n v="47"/>
    <n v="0"/>
    <n v="0"/>
    <n v="29.84"/>
    <n v="0"/>
    <n v="0"/>
    <n v="32.209574164280724"/>
    <m/>
    <m/>
    <n v="31332"/>
    <n v="0"/>
    <n v="0"/>
    <n v="33820.052872494758"/>
    <n v="0"/>
    <n v="0"/>
  </r>
  <r>
    <s v="Regular"/>
    <x v="0"/>
    <x v="0"/>
    <x v="1"/>
    <x v="0"/>
    <x v="1"/>
    <x v="0"/>
    <x v="1"/>
    <x v="11"/>
    <n v="2100"/>
    <n v="1050"/>
    <n v="0"/>
    <n v="0"/>
    <n v="0"/>
    <n v="0"/>
    <n v="1"/>
    <x v="1"/>
    <n v="0"/>
    <n v="47"/>
    <n v="0"/>
    <n v="0"/>
    <n v="29.84"/>
    <n v="0"/>
    <n v="0"/>
    <n v="32.209574164280724"/>
    <m/>
    <m/>
    <n v="31332"/>
    <n v="0"/>
    <n v="0"/>
    <n v="33820.052872494758"/>
    <n v="0"/>
    <n v="0"/>
  </r>
  <r>
    <s v="Regular"/>
    <x v="0"/>
    <x v="0"/>
    <x v="1"/>
    <x v="0"/>
    <x v="1"/>
    <x v="0"/>
    <x v="2"/>
    <x v="0"/>
    <n v="0"/>
    <n v="0"/>
    <n v="86.004000000000005"/>
    <n v="86.004000000000005"/>
    <n v="0"/>
    <n v="0"/>
    <n v="0"/>
    <x v="1"/>
    <n v="0"/>
    <n v="0"/>
    <n v="35"/>
    <n v="0"/>
    <n v="0"/>
    <n v="2389.5"/>
    <n v="0"/>
    <m/>
    <n v="2540.3649699415037"/>
    <m/>
    <n v="0"/>
    <n v="205506.55800000002"/>
    <n v="0"/>
    <n v="0"/>
    <n v="218481.5488748491"/>
    <n v="0"/>
  </r>
  <r>
    <s v="Regular"/>
    <x v="0"/>
    <x v="0"/>
    <x v="1"/>
    <x v="0"/>
    <x v="1"/>
    <x v="0"/>
    <x v="2"/>
    <x v="1"/>
    <n v="0"/>
    <n v="0"/>
    <n v="72.034999999999997"/>
    <n v="72.034999999999997"/>
    <n v="0"/>
    <n v="0"/>
    <n v="0"/>
    <x v="1"/>
    <n v="0"/>
    <n v="0"/>
    <n v="35"/>
    <n v="0"/>
    <n v="0"/>
    <n v="2389.5"/>
    <n v="0"/>
    <m/>
    <n v="2540.3649699415037"/>
    <m/>
    <n v="0"/>
    <n v="172127.63249999998"/>
    <n v="0"/>
    <n v="0"/>
    <n v="182995.19060973619"/>
    <n v="0"/>
  </r>
  <r>
    <s v="Regular"/>
    <x v="0"/>
    <x v="0"/>
    <x v="1"/>
    <x v="0"/>
    <x v="1"/>
    <x v="0"/>
    <x v="2"/>
    <x v="2"/>
    <n v="0"/>
    <n v="0"/>
    <n v="80.399000000000001"/>
    <n v="80.399000000000001"/>
    <n v="0"/>
    <n v="0"/>
    <n v="0"/>
    <x v="1"/>
    <n v="0"/>
    <n v="0"/>
    <n v="35"/>
    <n v="0"/>
    <n v="0"/>
    <n v="2389.5"/>
    <n v="0"/>
    <m/>
    <n v="2540.3649699415037"/>
    <m/>
    <n v="0"/>
    <n v="192113.4105"/>
    <n v="0"/>
    <n v="0"/>
    <n v="204242.80321832697"/>
    <n v="0"/>
  </r>
  <r>
    <s v="Regular"/>
    <x v="0"/>
    <x v="0"/>
    <x v="1"/>
    <x v="0"/>
    <x v="1"/>
    <x v="0"/>
    <x v="2"/>
    <x v="3"/>
    <n v="0"/>
    <n v="0"/>
    <n v="92.685000000000002"/>
    <n v="92.685000000000002"/>
    <n v="0"/>
    <n v="0"/>
    <n v="0"/>
    <x v="1"/>
    <n v="0"/>
    <n v="0"/>
    <n v="35"/>
    <n v="0"/>
    <n v="0"/>
    <n v="2389.5"/>
    <n v="0"/>
    <m/>
    <n v="2540.3649699415037"/>
    <m/>
    <n v="0"/>
    <n v="221470.8075"/>
    <n v="0"/>
    <n v="0"/>
    <n v="235453.72723902826"/>
    <n v="0"/>
  </r>
  <r>
    <s v="Regular"/>
    <x v="0"/>
    <x v="0"/>
    <x v="1"/>
    <x v="0"/>
    <x v="1"/>
    <x v="0"/>
    <x v="2"/>
    <x v="4"/>
    <n v="0"/>
    <n v="0"/>
    <n v="83.393000000000001"/>
    <n v="83.393000000000001"/>
    <n v="0"/>
    <n v="0"/>
    <n v="0"/>
    <x v="1"/>
    <n v="0"/>
    <n v="0"/>
    <n v="35"/>
    <n v="0"/>
    <n v="0"/>
    <n v="2389.5"/>
    <n v="0"/>
    <m/>
    <n v="2540.3649699415037"/>
    <m/>
    <n v="0"/>
    <n v="199267.5735"/>
    <n v="0"/>
    <n v="0"/>
    <n v="211848.65593833182"/>
    <n v="0"/>
  </r>
  <r>
    <s v="Regular"/>
    <x v="0"/>
    <x v="0"/>
    <x v="1"/>
    <x v="0"/>
    <x v="1"/>
    <x v="0"/>
    <x v="2"/>
    <x v="5"/>
    <n v="0"/>
    <n v="0"/>
    <n v="78.411000000000001"/>
    <n v="40.95357679947"/>
    <n v="0"/>
    <n v="0"/>
    <n v="0"/>
    <x v="1"/>
    <n v="0"/>
    <n v="0"/>
    <n v="35"/>
    <n v="0"/>
    <n v="0"/>
    <n v="2389.5"/>
    <n v="0"/>
    <m/>
    <n v="2540.3649699415037"/>
    <m/>
    <n v="0"/>
    <n v="97858.571762333566"/>
    <n v="0"/>
    <n v="0"/>
    <n v="104037.03189518266"/>
    <n v="0"/>
  </r>
  <r>
    <s v="Regular"/>
    <x v="0"/>
    <x v="0"/>
    <x v="1"/>
    <x v="0"/>
    <x v="1"/>
    <x v="0"/>
    <x v="2"/>
    <x v="6"/>
    <n v="0"/>
    <n v="0"/>
    <n v="90.872"/>
    <n v="47.399215953679999"/>
    <n v="0"/>
    <n v="0"/>
    <n v="0"/>
    <x v="1"/>
    <n v="0"/>
    <n v="0"/>
    <n v="35"/>
    <n v="0"/>
    <n v="0"/>
    <n v="2389.5"/>
    <n v="0"/>
    <m/>
    <n v="2540.3649699415037"/>
    <m/>
    <n v="0"/>
    <n v="113260.42652131835"/>
    <n v="0"/>
    <n v="0"/>
    <n v="120411.30781142112"/>
    <n v="0"/>
  </r>
  <r>
    <s v="Regular"/>
    <x v="0"/>
    <x v="0"/>
    <x v="1"/>
    <x v="0"/>
    <x v="1"/>
    <x v="0"/>
    <x v="2"/>
    <x v="7"/>
    <n v="0"/>
    <n v="0"/>
    <n v="85.397999999999996"/>
    <n v="44.465462753879997"/>
    <n v="0"/>
    <n v="0"/>
    <n v="0"/>
    <x v="1"/>
    <n v="0"/>
    <n v="0"/>
    <n v="35"/>
    <n v="0"/>
    <n v="0"/>
    <n v="2389.5"/>
    <n v="0"/>
    <m/>
    <n v="2540.3649699415037"/>
    <m/>
    <n v="0"/>
    <n v="106250.22325039626"/>
    <n v="0"/>
    <n v="0"/>
    <n v="112958.5039521954"/>
    <n v="0"/>
  </r>
  <r>
    <s v="Regular"/>
    <x v="0"/>
    <x v="0"/>
    <x v="1"/>
    <x v="0"/>
    <x v="1"/>
    <x v="0"/>
    <x v="2"/>
    <x v="8"/>
    <n v="0"/>
    <n v="0"/>
    <n v="85.915000000000006"/>
    <n v="44.670605579099998"/>
    <n v="0"/>
    <n v="0"/>
    <n v="0"/>
    <x v="1"/>
    <n v="0"/>
    <n v="0"/>
    <n v="35"/>
    <n v="0"/>
    <n v="0"/>
    <n v="2389.5"/>
    <n v="0"/>
    <m/>
    <n v="2540.3649699415037"/>
    <m/>
    <n v="0"/>
    <n v="106740.41203125945"/>
    <n v="0"/>
    <n v="0"/>
    <n v="113479.64159921913"/>
    <n v="0"/>
  </r>
  <r>
    <s v="Regular"/>
    <x v="0"/>
    <x v="0"/>
    <x v="1"/>
    <x v="0"/>
    <x v="1"/>
    <x v="0"/>
    <x v="2"/>
    <x v="9"/>
    <n v="0"/>
    <n v="0"/>
    <n v="86.504000000000005"/>
    <n v="44.964743733360002"/>
    <n v="0"/>
    <n v="0"/>
    <n v="0"/>
    <x v="1"/>
    <n v="0"/>
    <n v="0"/>
    <n v="35"/>
    <n v="0"/>
    <n v="0"/>
    <n v="2389.5"/>
    <n v="0"/>
    <m/>
    <n v="2540.3649699415037"/>
    <m/>
    <n v="0"/>
    <n v="107443.25515086373"/>
    <n v="0"/>
    <n v="0"/>
    <n v="114226.85986262449"/>
    <n v="0"/>
  </r>
  <r>
    <s v="Regular"/>
    <x v="0"/>
    <x v="0"/>
    <x v="1"/>
    <x v="0"/>
    <x v="1"/>
    <x v="0"/>
    <x v="2"/>
    <x v="10"/>
    <n v="0"/>
    <n v="0"/>
    <n v="89.667000000000002"/>
    <n v="44.838360848070003"/>
    <n v="0"/>
    <n v="0"/>
    <n v="0"/>
    <x v="1"/>
    <n v="0"/>
    <n v="0"/>
    <n v="35"/>
    <n v="0"/>
    <n v="0"/>
    <n v="2389.5"/>
    <n v="0"/>
    <m/>
    <n v="2540.3649699415037"/>
    <m/>
    <n v="0"/>
    <n v="107141.26324646328"/>
    <n v="0"/>
    <n v="0"/>
    <n v="113905.80120803365"/>
    <n v="0"/>
  </r>
  <r>
    <s v="Regular"/>
    <x v="0"/>
    <x v="0"/>
    <x v="1"/>
    <x v="0"/>
    <x v="1"/>
    <x v="0"/>
    <x v="2"/>
    <x v="11"/>
    <n v="0"/>
    <n v="0"/>
    <n v="92.382999999999996"/>
    <n v="47.998565062140003"/>
    <n v="0"/>
    <n v="0"/>
    <n v="0"/>
    <x v="1"/>
    <n v="0"/>
    <n v="0"/>
    <n v="35"/>
    <n v="0"/>
    <n v="0"/>
    <n v="2389.5"/>
    <n v="0"/>
    <m/>
    <n v="2540.3649699415037"/>
    <m/>
    <n v="0"/>
    <n v="114692.57121598354"/>
    <n v="0"/>
    <n v="0"/>
    <n v="121933.8732913186"/>
    <n v="0"/>
  </r>
  <r>
    <s v="Regular"/>
    <x v="0"/>
    <x v="0"/>
    <x v="2"/>
    <x v="1"/>
    <x v="0"/>
    <x v="0"/>
    <x v="0"/>
    <x v="0"/>
    <n v="0"/>
    <n v="0"/>
    <n v="215.23599999999999"/>
    <n v="202.32184000000001"/>
    <n v="215.23599999999999"/>
    <n v="202.32184000000001"/>
    <n v="0"/>
    <x v="0"/>
    <n v="0"/>
    <n v="0"/>
    <n v="40"/>
    <n v="65"/>
    <n v="0"/>
    <n v="93.48"/>
    <n v="221.6"/>
    <m/>
    <n v="130.67486733178526"/>
    <n v="370.68018829502824"/>
    <n v="0"/>
    <n v="18913.0456032"/>
    <n v="44834.519743999997"/>
    <n v="0"/>
    <n v="26438.379600322685"/>
    <n v="74996.697747396582"/>
  </r>
  <r>
    <s v="Regular"/>
    <x v="0"/>
    <x v="0"/>
    <x v="2"/>
    <x v="1"/>
    <x v="0"/>
    <x v="0"/>
    <x v="0"/>
    <x v="1"/>
    <n v="0"/>
    <n v="0"/>
    <n v="221.91499999999999"/>
    <n v="208.6001"/>
    <n v="221.91499999999999"/>
    <n v="208.6001"/>
    <n v="0"/>
    <x v="0"/>
    <n v="0"/>
    <n v="0"/>
    <n v="40"/>
    <n v="65"/>
    <n v="0"/>
    <n v="93.48"/>
    <n v="221.6"/>
    <m/>
    <n v="130.67486733178526"/>
    <n v="370.68018829502824"/>
    <n v="0"/>
    <n v="19499.937347999999"/>
    <n v="46225.782159999995"/>
    <n v="0"/>
    <n v="27258.790392897139"/>
    <n v="77323.924346361717"/>
  </r>
  <r>
    <s v="Regular"/>
    <x v="0"/>
    <x v="0"/>
    <x v="2"/>
    <x v="1"/>
    <x v="0"/>
    <x v="0"/>
    <x v="0"/>
    <x v="2"/>
    <n v="0"/>
    <n v="0"/>
    <n v="214.208"/>
    <n v="201.35552000000001"/>
    <n v="214.208"/>
    <n v="201.35552000000001"/>
    <n v="0"/>
    <x v="0"/>
    <n v="0"/>
    <n v="0"/>
    <n v="40"/>
    <n v="65"/>
    <n v="0"/>
    <n v="93.48"/>
    <n v="221.6"/>
    <m/>
    <n v="130.67486733178526"/>
    <n v="370.68018829502824"/>
    <n v="0"/>
    <n v="18822.7140096"/>
    <n v="44620.383232"/>
    <n v="0"/>
    <n v="26312.105862522636"/>
    <n v="74638.502067843336"/>
  </r>
  <r>
    <s v="Regular"/>
    <x v="0"/>
    <x v="0"/>
    <x v="2"/>
    <x v="1"/>
    <x v="0"/>
    <x v="0"/>
    <x v="0"/>
    <x v="3"/>
    <n v="0"/>
    <n v="0"/>
    <n v="220.203"/>
    <n v="206.99082000000001"/>
    <n v="220.203"/>
    <n v="206.99082000000001"/>
    <n v="0"/>
    <x v="0"/>
    <n v="0"/>
    <n v="0"/>
    <n v="40"/>
    <n v="65"/>
    <n v="0"/>
    <n v="93.48"/>
    <n v="221.6"/>
    <m/>
    <n v="130.67486733178526"/>
    <n v="370.68018829502824"/>
    <n v="0"/>
    <n v="19349.501853600003"/>
    <n v="45869.165712000002"/>
    <n v="0"/>
    <n v="27048.497942397447"/>
    <n v="76727.396132942304"/>
  </r>
  <r>
    <s v="Regular"/>
    <x v="0"/>
    <x v="0"/>
    <x v="2"/>
    <x v="1"/>
    <x v="0"/>
    <x v="0"/>
    <x v="0"/>
    <x v="4"/>
    <n v="0"/>
    <n v="0"/>
    <n v="200.84200000000001"/>
    <n v="188.79148000000001"/>
    <n v="200.84200000000001"/>
    <n v="188.79148000000001"/>
    <n v="0"/>
    <x v="0"/>
    <n v="0"/>
    <n v="0"/>
    <n v="40"/>
    <n v="65"/>
    <n v="0"/>
    <n v="93.48"/>
    <n v="221.6"/>
    <m/>
    <n v="130.67486733178526"/>
    <n v="370.68018829502824"/>
    <n v="0"/>
    <n v="17648.227550400003"/>
    <n v="41836.191967999999"/>
    <n v="0"/>
    <n v="24670.301602371394"/>
    <n v="69981.261354897055"/>
  </r>
  <r>
    <s v="Regular"/>
    <x v="0"/>
    <x v="0"/>
    <x v="2"/>
    <x v="1"/>
    <x v="0"/>
    <x v="0"/>
    <x v="0"/>
    <x v="5"/>
    <n v="0"/>
    <n v="0"/>
    <n v="193.44"/>
    <n v="181.83359999999999"/>
    <n v="193.44"/>
    <n v="181.83359999999999"/>
    <n v="0"/>
    <x v="0"/>
    <n v="0"/>
    <n v="0"/>
    <n v="40"/>
    <n v="65"/>
    <n v="0"/>
    <n v="93.48"/>
    <n v="221.6"/>
    <m/>
    <n v="130.67486733178526"/>
    <n v="370.68018829502824"/>
    <n v="0"/>
    <n v="16997.804928000001"/>
    <n v="40294.32576"/>
    <n v="0"/>
    <n v="23761.081556460907"/>
    <n v="67402.11308636285"/>
  </r>
  <r>
    <s v="Regular"/>
    <x v="0"/>
    <x v="0"/>
    <x v="2"/>
    <x v="1"/>
    <x v="0"/>
    <x v="0"/>
    <x v="0"/>
    <x v="6"/>
    <n v="0"/>
    <n v="0"/>
    <n v="190.35400000000001"/>
    <n v="178.93276"/>
    <n v="190.35400000000001"/>
    <n v="178.93276"/>
    <n v="0"/>
    <x v="0"/>
    <n v="0"/>
    <n v="0"/>
    <n v="40"/>
    <n v="65"/>
    <n v="0"/>
    <n v="93.48"/>
    <n v="221.6"/>
    <m/>
    <n v="130.67486733178526"/>
    <n v="370.68018829502824"/>
    <n v="0"/>
    <n v="16726.634404799999"/>
    <n v="39651.499616000001"/>
    <n v="0"/>
    <n v="23382.014674310172"/>
    <n v="66326.829168949102"/>
  </r>
  <r>
    <s v="Regular"/>
    <x v="0"/>
    <x v="0"/>
    <x v="2"/>
    <x v="1"/>
    <x v="0"/>
    <x v="0"/>
    <x v="0"/>
    <x v="7"/>
    <n v="0"/>
    <n v="0"/>
    <n v="187.297"/>
    <n v="176.05918"/>
    <n v="187.297"/>
    <n v="176.05918"/>
    <n v="0"/>
    <x v="0"/>
    <n v="0"/>
    <n v="0"/>
    <n v="40"/>
    <n v="65"/>
    <n v="0"/>
    <n v="93.48"/>
    <n v="221.6"/>
    <m/>
    <n v="130.67486733178526"/>
    <n v="370.68018829502824"/>
    <n v="0"/>
    <n v="16458.0121464"/>
    <n v="39014.714287999996"/>
    <n v="0"/>
    <n v="23006.509989042901"/>
    <n v="65261.649993468272"/>
  </r>
  <r>
    <s v="Regular"/>
    <x v="0"/>
    <x v="0"/>
    <x v="2"/>
    <x v="1"/>
    <x v="0"/>
    <x v="0"/>
    <x v="0"/>
    <x v="8"/>
    <n v="0"/>
    <n v="0"/>
    <n v="206.12899999999999"/>
    <n v="193.76125999999999"/>
    <n v="206.12899999999999"/>
    <n v="193.76125999999999"/>
    <n v="0"/>
    <x v="0"/>
    <n v="0"/>
    <n v="0"/>
    <n v="40"/>
    <n v="65"/>
    <n v="0"/>
    <n v="93.48"/>
    <n v="221.6"/>
    <m/>
    <n v="130.67486733178526"/>
    <n v="370.68018829502824"/>
    <n v="0"/>
    <n v="18112.8025848"/>
    <n v="42937.495215999996"/>
    <n v="0"/>
    <n v="25319.72694453955"/>
    <n v="71823.460341081925"/>
  </r>
  <r>
    <s v="Regular"/>
    <x v="0"/>
    <x v="0"/>
    <x v="2"/>
    <x v="1"/>
    <x v="0"/>
    <x v="0"/>
    <x v="0"/>
    <x v="9"/>
    <n v="0"/>
    <n v="0"/>
    <n v="198.251"/>
    <n v="186.35594"/>
    <n v="198.251"/>
    <n v="186.35594"/>
    <n v="0"/>
    <x v="0"/>
    <n v="0"/>
    <n v="0"/>
    <n v="40"/>
    <n v="65"/>
    <n v="0"/>
    <n v="93.48"/>
    <n v="221.6"/>
    <m/>
    <n v="130.67486733178526"/>
    <n v="370.68018829502824"/>
    <n v="0"/>
    <n v="17420.553271200002"/>
    <n v="41296.476304000003"/>
    <n v="0"/>
    <n v="24352.037735990136"/>
    <n v="69078.454929096988"/>
  </r>
  <r>
    <s v="Regular"/>
    <x v="0"/>
    <x v="0"/>
    <x v="2"/>
    <x v="1"/>
    <x v="0"/>
    <x v="0"/>
    <x v="0"/>
    <x v="10"/>
    <n v="0"/>
    <n v="0"/>
    <n v="215.82400000000001"/>
    <n v="202.87456"/>
    <n v="215.82400000000001"/>
    <n v="202.87456"/>
    <n v="0"/>
    <x v="0"/>
    <n v="0"/>
    <n v="0"/>
    <n v="40"/>
    <n v="65"/>
    <n v="0"/>
    <n v="93.48"/>
    <n v="221.6"/>
    <m/>
    <n v="130.67486733178526"/>
    <n v="370.68018829502824"/>
    <n v="0"/>
    <n v="18964.713868800001"/>
    <n v="44957.002496000001"/>
    <n v="0"/>
    <n v="26510.606212994309"/>
    <n v="75201.580101071013"/>
  </r>
  <r>
    <s v="Regular"/>
    <x v="0"/>
    <x v="0"/>
    <x v="2"/>
    <x v="1"/>
    <x v="0"/>
    <x v="0"/>
    <x v="0"/>
    <x v="11"/>
    <n v="0"/>
    <n v="0"/>
    <n v="211.61"/>
    <n v="198.9134"/>
    <n v="211.61"/>
    <n v="198.9134"/>
    <n v="0"/>
    <x v="0"/>
    <n v="0"/>
    <n v="0"/>
    <n v="40"/>
    <n v="65"/>
    <n v="0"/>
    <n v="93.48"/>
    <n v="221.6"/>
    <m/>
    <n v="130.67486733178526"/>
    <n v="370.68018829502824"/>
    <n v="0"/>
    <n v="18594.424632000002"/>
    <n v="44079.209439999999"/>
    <n v="0"/>
    <n v="25992.982155514335"/>
    <n v="73733.256566404263"/>
  </r>
  <r>
    <s v="Regular"/>
    <x v="0"/>
    <x v="0"/>
    <x v="2"/>
    <x v="1"/>
    <x v="0"/>
    <x v="0"/>
    <x v="1"/>
    <x v="0"/>
    <n v="906"/>
    <n v="770.1"/>
    <n v="0"/>
    <n v="0"/>
    <n v="0"/>
    <n v="0"/>
    <n v="3"/>
    <x v="0"/>
    <n v="0"/>
    <n v="47"/>
    <n v="0"/>
    <n v="0"/>
    <n v="29.84"/>
    <n v="0"/>
    <n v="0"/>
    <n v="32.209574164280724"/>
    <m/>
    <m/>
    <n v="22979.784"/>
    <n v="0"/>
    <n v="0"/>
    <n v="24804.593063912587"/>
    <n v="0"/>
    <n v="0"/>
  </r>
  <r>
    <s v="Regular"/>
    <x v="0"/>
    <x v="0"/>
    <x v="2"/>
    <x v="1"/>
    <x v="0"/>
    <x v="0"/>
    <x v="1"/>
    <x v="1"/>
    <n v="906"/>
    <n v="770.1"/>
    <n v="0"/>
    <n v="0"/>
    <n v="0"/>
    <n v="0"/>
    <n v="3"/>
    <x v="0"/>
    <n v="0"/>
    <n v="47"/>
    <n v="0"/>
    <n v="0"/>
    <n v="29.84"/>
    <n v="0"/>
    <n v="0"/>
    <n v="32.209574164280724"/>
    <m/>
    <m/>
    <n v="22979.784"/>
    <n v="0"/>
    <n v="0"/>
    <n v="24804.593063912587"/>
    <n v="0"/>
    <n v="0"/>
  </r>
  <r>
    <s v="Regular"/>
    <x v="0"/>
    <x v="0"/>
    <x v="2"/>
    <x v="1"/>
    <x v="0"/>
    <x v="0"/>
    <x v="1"/>
    <x v="2"/>
    <n v="906"/>
    <n v="770.1"/>
    <n v="0"/>
    <n v="0"/>
    <n v="0"/>
    <n v="0"/>
    <n v="3"/>
    <x v="0"/>
    <n v="0"/>
    <n v="47"/>
    <n v="0"/>
    <n v="0"/>
    <n v="29.84"/>
    <n v="0"/>
    <n v="0"/>
    <n v="32.209574164280724"/>
    <m/>
    <m/>
    <n v="22979.784"/>
    <n v="0"/>
    <n v="0"/>
    <n v="24804.593063912587"/>
    <n v="0"/>
    <n v="0"/>
  </r>
  <r>
    <s v="Regular"/>
    <x v="0"/>
    <x v="0"/>
    <x v="2"/>
    <x v="1"/>
    <x v="0"/>
    <x v="0"/>
    <x v="1"/>
    <x v="3"/>
    <n v="906"/>
    <n v="770.1"/>
    <n v="0"/>
    <n v="0"/>
    <n v="0"/>
    <n v="0"/>
    <n v="3"/>
    <x v="0"/>
    <n v="0"/>
    <n v="47"/>
    <n v="0"/>
    <n v="0"/>
    <n v="29.84"/>
    <n v="0"/>
    <n v="0"/>
    <n v="32.209574164280724"/>
    <m/>
    <m/>
    <n v="22979.784"/>
    <n v="0"/>
    <n v="0"/>
    <n v="24804.593063912587"/>
    <n v="0"/>
    <n v="0"/>
  </r>
  <r>
    <s v="Regular"/>
    <x v="0"/>
    <x v="0"/>
    <x v="2"/>
    <x v="1"/>
    <x v="0"/>
    <x v="0"/>
    <x v="1"/>
    <x v="4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1"/>
    <x v="5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1"/>
    <x v="6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1"/>
    <x v="7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1"/>
    <x v="8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1"/>
    <x v="9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1"/>
    <x v="10"/>
    <n v="557"/>
    <n v="473.45"/>
    <n v="0"/>
    <n v="0"/>
    <n v="0"/>
    <n v="0"/>
    <n v="2"/>
    <x v="0"/>
    <n v="0"/>
    <n v="47"/>
    <n v="0"/>
    <n v="0"/>
    <n v="29.84"/>
    <n v="0"/>
    <n v="0"/>
    <n v="32.209574164280724"/>
    <m/>
    <m/>
    <n v="14127.748"/>
    <n v="0"/>
    <n v="0"/>
    <n v="15249.622888078708"/>
    <n v="0"/>
    <n v="0"/>
  </r>
  <r>
    <s v="Regular"/>
    <x v="0"/>
    <x v="0"/>
    <x v="2"/>
    <x v="1"/>
    <x v="0"/>
    <x v="0"/>
    <x v="1"/>
    <x v="11"/>
    <n v="556"/>
    <n v="472.59999999999997"/>
    <n v="0"/>
    <n v="0"/>
    <n v="0"/>
    <n v="0"/>
    <n v="2"/>
    <x v="0"/>
    <n v="0"/>
    <n v="47"/>
    <n v="0"/>
    <n v="0"/>
    <n v="29.84"/>
    <n v="0"/>
    <n v="0"/>
    <n v="32.209574164280724"/>
    <m/>
    <m/>
    <n v="14102.383999999998"/>
    <n v="0"/>
    <n v="0"/>
    <n v="15222.24475003907"/>
    <n v="0"/>
    <n v="0"/>
  </r>
  <r>
    <s v="Regular"/>
    <x v="0"/>
    <x v="0"/>
    <x v="2"/>
    <x v="1"/>
    <x v="0"/>
    <x v="0"/>
    <x v="2"/>
    <x v="0"/>
    <n v="0"/>
    <n v="0"/>
    <n v="21.111000000000001"/>
    <n v="19.844339999999999"/>
    <n v="21.111000000000001"/>
    <n v="19.844339999999999"/>
    <n v="0"/>
    <x v="0"/>
    <n v="0"/>
    <n v="0"/>
    <n v="35"/>
    <n v="79"/>
    <n v="0"/>
    <n v="2389.5"/>
    <n v="221.6"/>
    <m/>
    <n v="2540.3649699415037"/>
    <n v="370.68018829502824"/>
    <n v="0"/>
    <n v="47418.050429999996"/>
    <n v="4397.505744"/>
    <n v="0"/>
    <n v="50411.866187608975"/>
    <n v="7355.9036877905601"/>
  </r>
  <r>
    <s v="Regular"/>
    <x v="0"/>
    <x v="0"/>
    <x v="2"/>
    <x v="1"/>
    <x v="0"/>
    <x v="0"/>
    <x v="2"/>
    <x v="1"/>
    <n v="0"/>
    <n v="0"/>
    <n v="19.920999999999999"/>
    <n v="18.725739999999998"/>
    <n v="19.920999999999999"/>
    <n v="18.725739999999998"/>
    <n v="0"/>
    <x v="0"/>
    <n v="0"/>
    <n v="0"/>
    <n v="35"/>
    <n v="79"/>
    <n v="0"/>
    <n v="2389.5"/>
    <n v="221.6"/>
    <m/>
    <n v="2540.3649699415037"/>
    <n v="370.68018829502824"/>
    <n v="0"/>
    <n v="44745.155729999999"/>
    <n v="4149.6239839999998"/>
    <n v="0"/>
    <n v="47570.213932232407"/>
    <n v="6941.2608291637416"/>
  </r>
  <r>
    <s v="Regular"/>
    <x v="0"/>
    <x v="0"/>
    <x v="2"/>
    <x v="1"/>
    <x v="0"/>
    <x v="0"/>
    <x v="2"/>
    <x v="2"/>
    <n v="0"/>
    <n v="0"/>
    <n v="19.634"/>
    <n v="18.455960000000001"/>
    <n v="19.634"/>
    <n v="18.455960000000001"/>
    <n v="0"/>
    <x v="0"/>
    <n v="0"/>
    <n v="0"/>
    <n v="35"/>
    <n v="79"/>
    <n v="0"/>
    <n v="2389.5"/>
    <n v="221.6"/>
    <m/>
    <n v="2540.3649699415037"/>
    <n v="370.68018829502824"/>
    <n v="0"/>
    <n v="44100.51642"/>
    <n v="4089.8407360000001"/>
    <n v="0"/>
    <n v="46884.874270641594"/>
    <n v="6841.2587279655099"/>
  </r>
  <r>
    <s v="Regular"/>
    <x v="0"/>
    <x v="0"/>
    <x v="2"/>
    <x v="1"/>
    <x v="0"/>
    <x v="0"/>
    <x v="2"/>
    <x v="3"/>
    <n v="0"/>
    <n v="0"/>
    <n v="22.725999999999999"/>
    <n v="21.362439999999999"/>
    <n v="22.725999999999999"/>
    <n v="21.362439999999999"/>
    <n v="0"/>
    <x v="0"/>
    <n v="0"/>
    <n v="0"/>
    <n v="35"/>
    <n v="79"/>
    <n v="0"/>
    <n v="2389.5"/>
    <n v="221.6"/>
    <m/>
    <n v="2540.3649699415037"/>
    <n v="370.68018829502824"/>
    <n v="0"/>
    <n v="51045.550380000001"/>
    <n v="4733.9167039999993"/>
    <n v="0"/>
    <n v="54268.394248477176"/>
    <n v="7918.6332816412432"/>
  </r>
  <r>
    <s v="Regular"/>
    <x v="0"/>
    <x v="0"/>
    <x v="2"/>
    <x v="1"/>
    <x v="0"/>
    <x v="0"/>
    <x v="2"/>
    <x v="4"/>
    <n v="0"/>
    <n v="0"/>
    <n v="19.664000000000001"/>
    <n v="18.484159999999999"/>
    <n v="19.664000000000001"/>
    <n v="18.484159999999999"/>
    <n v="0"/>
    <x v="0"/>
    <n v="0"/>
    <n v="0"/>
    <n v="35"/>
    <n v="79"/>
    <n v="0"/>
    <n v="2389.5"/>
    <n v="221.6"/>
    <m/>
    <n v="2540.3649699415037"/>
    <n v="370.68018829502824"/>
    <n v="0"/>
    <n v="44167.900320000001"/>
    <n v="4096.0898559999996"/>
    <n v="0"/>
    <n v="46956.512562793941"/>
    <n v="6851.7119092754292"/>
  </r>
  <r>
    <s v="Regular"/>
    <x v="0"/>
    <x v="0"/>
    <x v="2"/>
    <x v="1"/>
    <x v="0"/>
    <x v="0"/>
    <x v="2"/>
    <x v="5"/>
    <n v="0"/>
    <n v="0"/>
    <n v="18.574000000000002"/>
    <n v="17.45956"/>
    <n v="18.574000000000002"/>
    <n v="17.45956"/>
    <n v="0"/>
    <x v="0"/>
    <n v="0"/>
    <n v="0"/>
    <n v="35"/>
    <n v="79"/>
    <n v="0"/>
    <n v="2389.5"/>
    <n v="221.6"/>
    <m/>
    <n v="2540.3649699415037"/>
    <n v="370.68018829502824"/>
    <n v="0"/>
    <n v="41719.618620000001"/>
    <n v="3869.0384959999997"/>
    <n v="0"/>
    <n v="44353.654614591876"/>
    <n v="6471.9129883483429"/>
  </r>
  <r>
    <s v="Regular"/>
    <x v="0"/>
    <x v="0"/>
    <x v="2"/>
    <x v="1"/>
    <x v="0"/>
    <x v="0"/>
    <x v="2"/>
    <x v="6"/>
    <n v="0"/>
    <n v="0"/>
    <n v="20.591999999999999"/>
    <n v="19.356480000000001"/>
    <n v="20.591999999999999"/>
    <n v="19.356480000000001"/>
    <n v="0"/>
    <x v="0"/>
    <n v="0"/>
    <n v="0"/>
    <n v="35"/>
    <n v="79"/>
    <n v="0"/>
    <n v="2389.5"/>
    <n v="221.6"/>
    <m/>
    <n v="2540.3649699415037"/>
    <n v="370.68018829502824"/>
    <n v="0"/>
    <n v="46252.308960000002"/>
    <n v="4289.3959679999998"/>
    <n v="0"/>
    <n v="49172.523733373317"/>
    <n v="7175.0636511289485"/>
  </r>
  <r>
    <s v="Regular"/>
    <x v="0"/>
    <x v="0"/>
    <x v="2"/>
    <x v="1"/>
    <x v="0"/>
    <x v="0"/>
    <x v="2"/>
    <x v="7"/>
    <n v="0"/>
    <n v="0"/>
    <n v="18.384"/>
    <n v="17.28096"/>
    <n v="18.384"/>
    <n v="17.28096"/>
    <n v="0"/>
    <x v="0"/>
    <n v="0"/>
    <n v="0"/>
    <n v="35"/>
    <n v="79"/>
    <n v="0"/>
    <n v="2389.5"/>
    <n v="221.6"/>
    <m/>
    <n v="2540.3649699415037"/>
    <n v="370.68018829502824"/>
    <n v="0"/>
    <n v="41292.853920000001"/>
    <n v="3829.460736"/>
    <n v="0"/>
    <n v="43899.945430960324"/>
    <n v="6405.7095067188511"/>
  </r>
  <r>
    <s v="Regular"/>
    <x v="0"/>
    <x v="0"/>
    <x v="2"/>
    <x v="1"/>
    <x v="0"/>
    <x v="0"/>
    <x v="2"/>
    <x v="8"/>
    <n v="0"/>
    <n v="0"/>
    <n v="20.672000000000001"/>
    <n v="19.43168"/>
    <n v="20.672000000000001"/>
    <n v="19.43168"/>
    <n v="0"/>
    <x v="0"/>
    <n v="0"/>
    <n v="0"/>
    <n v="35"/>
    <n v="79"/>
    <n v="0"/>
    <n v="2389.5"/>
    <n v="221.6"/>
    <m/>
    <n v="2540.3649699415037"/>
    <n v="370.68018829502824"/>
    <n v="0"/>
    <n v="46431.999360000002"/>
    <n v="4306.0602879999997"/>
    <n v="0"/>
    <n v="49363.559179112919"/>
    <n v="7202.9388012887348"/>
  </r>
  <r>
    <s v="Regular"/>
    <x v="0"/>
    <x v="0"/>
    <x v="2"/>
    <x v="1"/>
    <x v="0"/>
    <x v="0"/>
    <x v="2"/>
    <x v="9"/>
    <n v="0"/>
    <n v="0"/>
    <n v="20.959"/>
    <n v="19.701460000000001"/>
    <n v="20.959"/>
    <n v="19.701460000000001"/>
    <n v="0"/>
    <x v="0"/>
    <n v="0"/>
    <n v="0"/>
    <n v="35"/>
    <n v="79"/>
    <n v="0"/>
    <n v="2389.5"/>
    <n v="221.6"/>
    <m/>
    <n v="2540.3649699415037"/>
    <n v="370.68018829502824"/>
    <n v="0"/>
    <n v="47076.63867"/>
    <n v="4365.8435360000003"/>
    <n v="0"/>
    <n v="50048.89884070374"/>
    <n v="7302.9409024869674"/>
  </r>
  <r>
    <s v="Regular"/>
    <x v="0"/>
    <x v="0"/>
    <x v="2"/>
    <x v="1"/>
    <x v="0"/>
    <x v="0"/>
    <x v="2"/>
    <x v="10"/>
    <n v="0"/>
    <n v="0"/>
    <n v="20.106999999999999"/>
    <n v="18.900580000000001"/>
    <n v="20.106999999999999"/>
    <n v="18.900580000000001"/>
    <n v="0"/>
    <x v="0"/>
    <n v="0"/>
    <n v="0"/>
    <n v="35"/>
    <n v="79"/>
    <n v="0"/>
    <n v="2389.5"/>
    <n v="221.6"/>
    <m/>
    <n v="2540.3649699415037"/>
    <n v="370.68018829502824"/>
    <n v="0"/>
    <n v="45162.93591"/>
    <n v="4188.368528"/>
    <n v="0"/>
    <n v="48014.37134357699"/>
    <n v="7006.0705532852453"/>
  </r>
  <r>
    <s v="Regular"/>
    <x v="0"/>
    <x v="0"/>
    <x v="2"/>
    <x v="1"/>
    <x v="0"/>
    <x v="0"/>
    <x v="2"/>
    <x v="11"/>
    <n v="0"/>
    <n v="0"/>
    <n v="21.699000000000002"/>
    <n v="20.39706"/>
    <n v="21.699000000000002"/>
    <n v="20.39706"/>
    <n v="0"/>
    <x v="0"/>
    <n v="0"/>
    <n v="0"/>
    <n v="35"/>
    <n v="79"/>
    <n v="0"/>
    <n v="2389.5"/>
    <n v="221.6"/>
    <m/>
    <n v="2540.3649699415037"/>
    <n v="370.68018829502824"/>
    <n v="0"/>
    <n v="48738.774870000001"/>
    <n v="4519.9884959999999"/>
    <n v="0"/>
    <n v="51815.976713795048"/>
    <n v="7560.7860414649886"/>
  </r>
  <r>
    <s v="Regular"/>
    <x v="1"/>
    <x v="1"/>
    <x v="3"/>
    <x v="2"/>
    <x v="0"/>
    <x v="0"/>
    <x v="0"/>
    <x v="0"/>
    <n v="0"/>
    <n v="0"/>
    <n v="3.6999999999999998E-2"/>
    <n v="3.6999999999999998E-2"/>
    <n v="3.6999999999999998E-2"/>
    <n v="3.6999999999999998E-2"/>
    <n v="0"/>
    <x v="0"/>
    <n v="0"/>
    <n v="0"/>
    <n v="15"/>
    <n v="63"/>
    <n v="0"/>
    <n v="319.24"/>
    <n v="221.6"/>
    <m/>
    <n v="362.71270713008153"/>
    <n v="370.68018829502824"/>
    <n v="0"/>
    <n v="11.81188"/>
    <n v="8.1991999999999994"/>
    <n v="0"/>
    <n v="13.420370163813017"/>
    <n v="13.715166966916044"/>
  </r>
  <r>
    <s v="Regular"/>
    <x v="1"/>
    <x v="1"/>
    <x v="3"/>
    <x v="2"/>
    <x v="0"/>
    <x v="0"/>
    <x v="0"/>
    <x v="1"/>
    <n v="0"/>
    <n v="0"/>
    <n v="3.5000000000000003E-2"/>
    <n v="3.5000000000000003E-2"/>
    <n v="3.5000000000000003E-2"/>
    <n v="3.5000000000000003E-2"/>
    <n v="0"/>
    <x v="0"/>
    <n v="0"/>
    <n v="0"/>
    <n v="15"/>
    <n v="63"/>
    <n v="0"/>
    <n v="319.24"/>
    <n v="221.6"/>
    <m/>
    <n v="362.71270713008153"/>
    <n v="370.68018829502824"/>
    <n v="0"/>
    <n v="11.173400000000001"/>
    <n v="7.7560000000000002"/>
    <n v="0"/>
    <n v="12.694944749552855"/>
    <n v="12.97380659032599"/>
  </r>
  <r>
    <s v="Regular"/>
    <x v="1"/>
    <x v="1"/>
    <x v="3"/>
    <x v="2"/>
    <x v="0"/>
    <x v="0"/>
    <x v="0"/>
    <x v="2"/>
    <n v="0"/>
    <n v="0"/>
    <n v="0.04"/>
    <n v="0.04"/>
    <n v="0.04"/>
    <n v="0.04"/>
    <n v="0"/>
    <x v="0"/>
    <n v="0"/>
    <n v="0"/>
    <n v="15"/>
    <n v="63"/>
    <n v="0"/>
    <n v="319.24"/>
    <n v="221.6"/>
    <m/>
    <n v="362.71270713008153"/>
    <n v="370.68018829502824"/>
    <n v="0"/>
    <n v="12.769600000000001"/>
    <n v="8.8640000000000008"/>
    <n v="0"/>
    <n v="14.508508285203261"/>
    <n v="14.827207531801131"/>
  </r>
  <r>
    <s v="Regular"/>
    <x v="1"/>
    <x v="1"/>
    <x v="3"/>
    <x v="2"/>
    <x v="0"/>
    <x v="0"/>
    <x v="0"/>
    <x v="3"/>
    <n v="0"/>
    <n v="0"/>
    <n v="0.06"/>
    <n v="0.06"/>
    <n v="0.06"/>
    <n v="0.06"/>
    <n v="0"/>
    <x v="0"/>
    <n v="0"/>
    <n v="0"/>
    <n v="15"/>
    <n v="63"/>
    <n v="0"/>
    <n v="319.24"/>
    <n v="221.6"/>
    <m/>
    <n v="362.71270713008153"/>
    <n v="370.68018829502824"/>
    <n v="0"/>
    <n v="19.154399999999999"/>
    <n v="13.295999999999999"/>
    <n v="0"/>
    <n v="21.762762427804891"/>
    <n v="22.240811297701693"/>
  </r>
  <r>
    <s v="Regular"/>
    <x v="1"/>
    <x v="1"/>
    <x v="3"/>
    <x v="2"/>
    <x v="0"/>
    <x v="0"/>
    <x v="0"/>
    <x v="4"/>
    <n v="0"/>
    <n v="0"/>
    <n v="3.1E-2"/>
    <n v="3.1E-2"/>
    <n v="3.1E-2"/>
    <n v="3.1E-2"/>
    <n v="0"/>
    <x v="0"/>
    <n v="0"/>
    <n v="0"/>
    <n v="15"/>
    <n v="63"/>
    <n v="0"/>
    <n v="319.24"/>
    <n v="221.6"/>
    <m/>
    <n v="362.71270713008153"/>
    <n v="370.68018829502824"/>
    <n v="0"/>
    <n v="9.8964400000000001"/>
    <n v="6.8696000000000002"/>
    <n v="0"/>
    <n v="11.244093921032528"/>
    <n v="11.491085837145876"/>
  </r>
  <r>
    <s v="Regular"/>
    <x v="1"/>
    <x v="1"/>
    <x v="3"/>
    <x v="2"/>
    <x v="0"/>
    <x v="0"/>
    <x v="0"/>
    <x v="5"/>
    <n v="0"/>
    <n v="0"/>
    <n v="3.7999999999999999E-2"/>
    <n v="3.7999999999999999E-2"/>
    <n v="3.7999999999999999E-2"/>
    <n v="3.7999999999999999E-2"/>
    <n v="0"/>
    <x v="0"/>
    <n v="0"/>
    <n v="0"/>
    <n v="15"/>
    <n v="63"/>
    <n v="0"/>
    <n v="319.24"/>
    <n v="221.6"/>
    <m/>
    <n v="362.71270713008153"/>
    <n v="370.68018829502824"/>
    <n v="0"/>
    <n v="12.131119999999999"/>
    <n v="8.4207999999999998"/>
    <n v="0"/>
    <n v="13.783082870943097"/>
    <n v="14.085847155211074"/>
  </r>
  <r>
    <s v="Regular"/>
    <x v="1"/>
    <x v="1"/>
    <x v="3"/>
    <x v="2"/>
    <x v="0"/>
    <x v="0"/>
    <x v="0"/>
    <x v="6"/>
    <n v="0"/>
    <n v="0"/>
    <n v="6.2E-2"/>
    <n v="6.2E-2"/>
    <n v="6.2E-2"/>
    <n v="6.2E-2"/>
    <n v="0"/>
    <x v="0"/>
    <n v="0"/>
    <n v="0"/>
    <n v="15"/>
    <n v="63"/>
    <n v="0"/>
    <n v="319.24"/>
    <n v="221.6"/>
    <m/>
    <n v="362.71270713008153"/>
    <n v="370.68018829502824"/>
    <n v="0"/>
    <n v="19.79288"/>
    <n v="13.7392"/>
    <n v="0"/>
    <n v="22.488187842065056"/>
    <n v="22.982171674291752"/>
  </r>
  <r>
    <s v="Regular"/>
    <x v="1"/>
    <x v="1"/>
    <x v="3"/>
    <x v="2"/>
    <x v="0"/>
    <x v="0"/>
    <x v="0"/>
    <x v="7"/>
    <n v="0"/>
    <n v="0"/>
    <n v="4.1000000000000002E-2"/>
    <n v="4.1000000000000002E-2"/>
    <n v="4.1000000000000002E-2"/>
    <n v="4.1000000000000002E-2"/>
    <n v="0"/>
    <x v="0"/>
    <n v="0"/>
    <n v="0"/>
    <n v="15"/>
    <n v="63"/>
    <n v="0"/>
    <n v="319.24"/>
    <n v="221.6"/>
    <m/>
    <n v="362.71270713008153"/>
    <n v="370.68018829502824"/>
    <n v="0"/>
    <n v="13.088840000000001"/>
    <n v="9.0855999999999995"/>
    <n v="0"/>
    <n v="14.871220992333344"/>
    <n v="15.197887720096158"/>
  </r>
  <r>
    <s v="Regular"/>
    <x v="1"/>
    <x v="1"/>
    <x v="3"/>
    <x v="2"/>
    <x v="0"/>
    <x v="0"/>
    <x v="0"/>
    <x v="8"/>
    <n v="0"/>
    <n v="0"/>
    <n v="4.2000000000000003E-2"/>
    <n v="4.2000000000000003E-2"/>
    <n v="4.2000000000000003E-2"/>
    <n v="4.2000000000000003E-2"/>
    <n v="0"/>
    <x v="0"/>
    <n v="0"/>
    <n v="0"/>
    <n v="15"/>
    <n v="63"/>
    <n v="0"/>
    <n v="319.24"/>
    <n v="221.6"/>
    <m/>
    <n v="362.71270713008153"/>
    <n v="370.68018829502824"/>
    <n v="0"/>
    <n v="13.408080000000002"/>
    <n v="9.3071999999999999"/>
    <n v="0"/>
    <n v="15.233933699463424"/>
    <n v="15.568567908391188"/>
  </r>
  <r>
    <s v="Regular"/>
    <x v="1"/>
    <x v="1"/>
    <x v="3"/>
    <x v="2"/>
    <x v="0"/>
    <x v="0"/>
    <x v="0"/>
    <x v="9"/>
    <n v="0"/>
    <n v="0"/>
    <n v="4.2000000000000003E-2"/>
    <n v="4.2000000000000003E-2"/>
    <n v="4.2000000000000003E-2"/>
    <n v="4.2000000000000003E-2"/>
    <n v="0"/>
    <x v="0"/>
    <n v="0"/>
    <n v="0"/>
    <n v="15"/>
    <n v="63"/>
    <n v="0"/>
    <n v="319.24"/>
    <n v="221.6"/>
    <m/>
    <n v="362.71270713008153"/>
    <n v="370.68018829502824"/>
    <n v="0"/>
    <n v="13.408080000000002"/>
    <n v="9.3071999999999999"/>
    <n v="0"/>
    <n v="15.233933699463424"/>
    <n v="15.568567908391188"/>
  </r>
  <r>
    <s v="Regular"/>
    <x v="1"/>
    <x v="1"/>
    <x v="3"/>
    <x v="2"/>
    <x v="0"/>
    <x v="0"/>
    <x v="0"/>
    <x v="10"/>
    <n v="0"/>
    <n v="0"/>
    <n v="4.1000000000000002E-2"/>
    <n v="4.1000000000000002E-2"/>
    <n v="4.1000000000000002E-2"/>
    <n v="4.1000000000000002E-2"/>
    <n v="0"/>
    <x v="0"/>
    <n v="0"/>
    <n v="0"/>
    <n v="15"/>
    <n v="63"/>
    <n v="0"/>
    <n v="319.24"/>
    <n v="221.6"/>
    <m/>
    <n v="362.71270713008153"/>
    <n v="370.68018829502824"/>
    <n v="0"/>
    <n v="13.088840000000001"/>
    <n v="9.0855999999999995"/>
    <n v="0"/>
    <n v="14.871220992333344"/>
    <n v="15.197887720096158"/>
  </r>
  <r>
    <s v="Regular"/>
    <x v="1"/>
    <x v="1"/>
    <x v="3"/>
    <x v="2"/>
    <x v="0"/>
    <x v="0"/>
    <x v="0"/>
    <x v="11"/>
    <n v="0"/>
    <n v="0"/>
    <n v="4.2000000000000003E-2"/>
    <n v="4.2000000000000003E-2"/>
    <n v="4.2000000000000003E-2"/>
    <n v="4.2000000000000003E-2"/>
    <n v="0"/>
    <x v="0"/>
    <n v="0"/>
    <n v="0"/>
    <n v="15"/>
    <n v="63"/>
    <n v="0"/>
    <n v="319.24"/>
    <n v="221.6"/>
    <m/>
    <n v="362.71270713008153"/>
    <n v="370.68018829502824"/>
    <n v="0"/>
    <n v="13.408080000000002"/>
    <n v="9.3071999999999999"/>
    <n v="0"/>
    <n v="15.233933699463424"/>
    <n v="15.568567908391188"/>
  </r>
  <r>
    <s v="Regular"/>
    <x v="1"/>
    <x v="1"/>
    <x v="3"/>
    <x v="2"/>
    <x v="0"/>
    <x v="0"/>
    <x v="3"/>
    <x v="0"/>
    <n v="0"/>
    <n v="0"/>
    <n v="1.7999999999999999E-2"/>
    <n v="1.7999999999999999E-2"/>
    <n v="1.7999999999999999E-2"/>
    <n v="1.7999999999999999E-2"/>
    <n v="0"/>
    <x v="0"/>
    <n v="0"/>
    <n v="0"/>
    <n v="23"/>
    <n v="70"/>
    <n v="0"/>
    <n v="714.31"/>
    <n v="221.6"/>
    <m/>
    <n v="733.43645981040106"/>
    <n v="370.68018829502824"/>
    <n v="0"/>
    <n v="12.857579999999999"/>
    <n v="3.9887999999999995"/>
    <n v="0"/>
    <n v="13.201856276587218"/>
    <n v="6.6722433893105082"/>
  </r>
  <r>
    <s v="Regular"/>
    <x v="1"/>
    <x v="1"/>
    <x v="3"/>
    <x v="2"/>
    <x v="0"/>
    <x v="0"/>
    <x v="3"/>
    <x v="1"/>
    <n v="0"/>
    <n v="0"/>
    <n v="1.9E-2"/>
    <n v="1.9E-2"/>
    <n v="1.9E-2"/>
    <n v="1.9E-2"/>
    <n v="0"/>
    <x v="0"/>
    <n v="0"/>
    <n v="0"/>
    <n v="23"/>
    <n v="70"/>
    <n v="0"/>
    <n v="714.31"/>
    <n v="221.6"/>
    <m/>
    <n v="733.43645981040106"/>
    <n v="370.68018829502824"/>
    <n v="0"/>
    <n v="13.571889999999998"/>
    <n v="4.2103999999999999"/>
    <n v="0"/>
    <n v="13.935292736397621"/>
    <n v="7.0429235776055368"/>
  </r>
  <r>
    <s v="Regular"/>
    <x v="1"/>
    <x v="1"/>
    <x v="3"/>
    <x v="2"/>
    <x v="0"/>
    <x v="0"/>
    <x v="3"/>
    <x v="2"/>
    <n v="0"/>
    <n v="0"/>
    <n v="1.2999999999999999E-2"/>
    <n v="1.2999999999999999E-2"/>
    <n v="1.2999999999999999E-2"/>
    <n v="1.2999999999999999E-2"/>
    <n v="0"/>
    <x v="0"/>
    <n v="0"/>
    <n v="0"/>
    <n v="23"/>
    <n v="70"/>
    <n v="0"/>
    <n v="714.31"/>
    <n v="221.6"/>
    <m/>
    <n v="733.43645981040106"/>
    <n v="370.68018829502824"/>
    <n v="0"/>
    <n v="9.2860299999999985"/>
    <n v="2.8807999999999998"/>
    <n v="0"/>
    <n v="9.5346739775352134"/>
    <n v="4.8188424478353671"/>
  </r>
  <r>
    <s v="Regular"/>
    <x v="1"/>
    <x v="1"/>
    <x v="3"/>
    <x v="2"/>
    <x v="0"/>
    <x v="0"/>
    <x v="3"/>
    <x v="3"/>
    <n v="0"/>
    <n v="0"/>
    <n v="7.0000000000000001E-3"/>
    <n v="7.0000000000000001E-3"/>
    <n v="7.0000000000000001E-3"/>
    <n v="7.0000000000000001E-3"/>
    <n v="0"/>
    <x v="0"/>
    <n v="0"/>
    <n v="0"/>
    <n v="23"/>
    <n v="70"/>
    <n v="0"/>
    <n v="714.31"/>
    <n v="221.6"/>
    <m/>
    <n v="733.43645981040106"/>
    <n v="370.68018829502824"/>
    <n v="0"/>
    <n v="5.0001699999999998"/>
    <n v="1.5511999999999999"/>
    <n v="0"/>
    <n v="5.1340552186728079"/>
    <n v="2.5947613180651978"/>
  </r>
  <r>
    <s v="Regular"/>
    <x v="1"/>
    <x v="1"/>
    <x v="3"/>
    <x v="2"/>
    <x v="0"/>
    <x v="0"/>
    <x v="3"/>
    <x v="4"/>
    <n v="0"/>
    <n v="0"/>
    <n v="0.03"/>
    <n v="0.03"/>
    <n v="0.03"/>
    <n v="0.03"/>
    <n v="0"/>
    <x v="0"/>
    <n v="0"/>
    <n v="0"/>
    <n v="23"/>
    <n v="70"/>
    <n v="0"/>
    <n v="714.31"/>
    <n v="221.6"/>
    <m/>
    <n v="733.43645981040106"/>
    <n v="370.68018829502824"/>
    <n v="0"/>
    <n v="21.429299999999998"/>
    <n v="6.6479999999999997"/>
    <n v="0"/>
    <n v="22.003093794312029"/>
    <n v="11.120405648850847"/>
  </r>
  <r>
    <s v="Regular"/>
    <x v="1"/>
    <x v="1"/>
    <x v="3"/>
    <x v="2"/>
    <x v="0"/>
    <x v="0"/>
    <x v="3"/>
    <x v="5"/>
    <n v="0"/>
    <n v="0"/>
    <n v="1.2E-2"/>
    <n v="1.2E-2"/>
    <n v="1.2E-2"/>
    <n v="1.2E-2"/>
    <n v="0"/>
    <x v="0"/>
    <n v="0"/>
    <n v="0"/>
    <n v="23"/>
    <n v="70"/>
    <n v="0"/>
    <n v="714.31"/>
    <n v="221.6"/>
    <m/>
    <n v="733.43645981040106"/>
    <n v="370.68018829502824"/>
    <n v="0"/>
    <n v="8.5717199999999991"/>
    <n v="2.6591999999999998"/>
    <n v="0"/>
    <n v="8.8012375177248128"/>
    <n v="4.4481622595403394"/>
  </r>
  <r>
    <s v="Regular"/>
    <x v="1"/>
    <x v="1"/>
    <x v="3"/>
    <x v="2"/>
    <x v="0"/>
    <x v="0"/>
    <x v="3"/>
    <x v="6"/>
    <n v="0"/>
    <n v="0"/>
    <n v="2.8000000000000001E-2"/>
    <n v="2.8000000000000001E-2"/>
    <n v="2.8000000000000001E-2"/>
    <n v="2.8000000000000001E-2"/>
    <n v="0"/>
    <x v="0"/>
    <n v="0"/>
    <n v="0"/>
    <n v="23"/>
    <n v="70"/>
    <n v="0"/>
    <n v="714.31"/>
    <n v="221.6"/>
    <m/>
    <n v="733.43645981040106"/>
    <n v="370.68018829502824"/>
    <n v="0"/>
    <n v="20.000679999999999"/>
    <n v="6.2047999999999996"/>
    <n v="0"/>
    <n v="20.536220874691232"/>
    <n v="10.379045272260791"/>
  </r>
  <r>
    <s v="Regular"/>
    <x v="1"/>
    <x v="1"/>
    <x v="3"/>
    <x v="2"/>
    <x v="0"/>
    <x v="0"/>
    <x v="3"/>
    <x v="7"/>
    <n v="0"/>
    <n v="0"/>
    <n v="1.9E-2"/>
    <n v="1.9E-2"/>
    <n v="1.9E-2"/>
    <n v="1.9E-2"/>
    <n v="0"/>
    <x v="0"/>
    <n v="0"/>
    <n v="0"/>
    <n v="23"/>
    <n v="70"/>
    <n v="0"/>
    <n v="714.31"/>
    <n v="221.6"/>
    <m/>
    <n v="733.43645981040106"/>
    <n v="370.68018829502824"/>
    <n v="0"/>
    <n v="13.571889999999998"/>
    <n v="4.2103999999999999"/>
    <n v="0"/>
    <n v="13.935292736397621"/>
    <n v="7.0429235776055368"/>
  </r>
  <r>
    <s v="Regular"/>
    <x v="1"/>
    <x v="1"/>
    <x v="3"/>
    <x v="2"/>
    <x v="0"/>
    <x v="0"/>
    <x v="3"/>
    <x v="8"/>
    <n v="0"/>
    <n v="0"/>
    <n v="1.2E-2"/>
    <n v="1.2E-2"/>
    <n v="1.2E-2"/>
    <n v="1.2E-2"/>
    <n v="0"/>
    <x v="0"/>
    <n v="0"/>
    <n v="0"/>
    <n v="23"/>
    <n v="70"/>
    <n v="0"/>
    <n v="714.31"/>
    <n v="221.6"/>
    <m/>
    <n v="733.43645981040106"/>
    <n v="370.68018829502824"/>
    <n v="0"/>
    <n v="8.5717199999999991"/>
    <n v="2.6591999999999998"/>
    <n v="0"/>
    <n v="8.8012375177248128"/>
    <n v="4.4481622595403394"/>
  </r>
  <r>
    <s v="Regular"/>
    <x v="1"/>
    <x v="1"/>
    <x v="3"/>
    <x v="2"/>
    <x v="0"/>
    <x v="0"/>
    <x v="3"/>
    <x v="9"/>
    <n v="0"/>
    <n v="0"/>
    <n v="1.2E-2"/>
    <n v="1.2E-2"/>
    <n v="1.2E-2"/>
    <n v="1.2E-2"/>
    <n v="0"/>
    <x v="0"/>
    <n v="0"/>
    <n v="0"/>
    <n v="23"/>
    <n v="70"/>
    <n v="0"/>
    <n v="714.31"/>
    <n v="221.6"/>
    <m/>
    <n v="733.43645981040106"/>
    <n v="370.68018829502824"/>
    <n v="0"/>
    <n v="8.5717199999999991"/>
    <n v="2.6591999999999998"/>
    <n v="0"/>
    <n v="8.8012375177248128"/>
    <n v="4.4481622595403394"/>
  </r>
  <r>
    <s v="Regular"/>
    <x v="1"/>
    <x v="1"/>
    <x v="3"/>
    <x v="2"/>
    <x v="0"/>
    <x v="0"/>
    <x v="3"/>
    <x v="10"/>
    <n v="0"/>
    <n v="0"/>
    <n v="1.2999999999999999E-2"/>
    <n v="1.2999999999999999E-2"/>
    <n v="1.2999999999999999E-2"/>
    <n v="1.2999999999999999E-2"/>
    <n v="0"/>
    <x v="0"/>
    <n v="0"/>
    <n v="0"/>
    <n v="23"/>
    <n v="70"/>
    <n v="0"/>
    <n v="714.31"/>
    <n v="221.6"/>
    <m/>
    <n v="733.43645981040106"/>
    <n v="370.68018829502824"/>
    <n v="0"/>
    <n v="9.2860299999999985"/>
    <n v="2.8807999999999998"/>
    <n v="0"/>
    <n v="9.5346739775352134"/>
    <n v="4.8188424478353671"/>
  </r>
  <r>
    <s v="Regular"/>
    <x v="1"/>
    <x v="1"/>
    <x v="3"/>
    <x v="2"/>
    <x v="0"/>
    <x v="0"/>
    <x v="3"/>
    <x v="11"/>
    <n v="0"/>
    <n v="0"/>
    <n v="1.2E-2"/>
    <n v="1.2E-2"/>
    <n v="1.2E-2"/>
    <n v="1.2E-2"/>
    <n v="0"/>
    <x v="0"/>
    <n v="0"/>
    <n v="0"/>
    <n v="23"/>
    <n v="70"/>
    <n v="0"/>
    <n v="714.31"/>
    <n v="221.6"/>
    <m/>
    <n v="733.43645981040106"/>
    <n v="370.68018829502824"/>
    <n v="0"/>
    <n v="8.5717199999999991"/>
    <n v="2.6591999999999998"/>
    <n v="0"/>
    <n v="8.8012375177248128"/>
    <n v="4.4481622595403394"/>
  </r>
  <r>
    <s v="Regular"/>
    <x v="1"/>
    <x v="2"/>
    <x v="3"/>
    <x v="2"/>
    <x v="0"/>
    <x v="0"/>
    <x v="1"/>
    <x v="0"/>
    <n v="0"/>
    <n v="0"/>
    <n v="423.71499999999997"/>
    <n v="423.71499999999997"/>
    <n v="423.71499999999997"/>
    <n v="423.71499999999997"/>
    <n v="3253"/>
    <x v="0"/>
    <n v="0"/>
    <n v="0"/>
    <n v="26"/>
    <n v="57"/>
    <n v="0"/>
    <n v="462.27"/>
    <n v="221.6"/>
    <m/>
    <n v="496.93189676911004"/>
    <n v="370.68018829502824"/>
    <n v="0"/>
    <n v="195870.73304999998"/>
    <n v="93895.243999999992"/>
    <n v="0"/>
    <n v="210557.49863952346"/>
    <n v="157062.75598342789"/>
  </r>
  <r>
    <s v="Refaturamento - Regular"/>
    <x v="1"/>
    <x v="2"/>
    <x v="3"/>
    <x v="2"/>
    <x v="0"/>
    <x v="0"/>
    <x v="1"/>
    <x v="0"/>
    <n v="0"/>
    <n v="0"/>
    <n v="-0.79100000000000004"/>
    <n v="-0.79100000000000004"/>
    <n v="-0.79100000000000004"/>
    <n v="-0.79100000000000004"/>
    <n v="0"/>
    <x v="0"/>
    <n v="0"/>
    <n v="0"/>
    <n v="26"/>
    <n v="57"/>
    <n v="0"/>
    <n v="462.27"/>
    <n v="221.6"/>
    <m/>
    <n v="496.93189676911004"/>
    <n v="370.68018829502824"/>
    <n v="0"/>
    <n v="-365.65557000000001"/>
    <n v="-175.28560000000002"/>
    <n v="0"/>
    <n v="-393.07313034436606"/>
    <n v="-293.20802894136733"/>
  </r>
  <r>
    <s v="Sistema de Compensação"/>
    <x v="1"/>
    <x v="2"/>
    <x v="3"/>
    <x v="2"/>
    <x v="0"/>
    <x v="0"/>
    <x v="1"/>
    <x v="0"/>
    <n v="0"/>
    <n v="0"/>
    <n v="2.7389999999999999"/>
    <n v="2.7389999999999999"/>
    <n v="2.7389999999999999"/>
    <n v="2.7389999999999999"/>
    <n v="25"/>
    <x v="0"/>
    <n v="0"/>
    <n v="0"/>
    <n v="26"/>
    <n v="57"/>
    <n v="0"/>
    <n v="462.27"/>
    <n v="221.6"/>
    <m/>
    <n v="496.93189676911004"/>
    <n v="370.68018829502824"/>
    <n v="0"/>
    <n v="1266.15753"/>
    <n v="606.9624"/>
    <n v="0"/>
    <n v="1361.0964652505922"/>
    <n v="1015.2930357400824"/>
  </r>
  <r>
    <s v="Regular"/>
    <x v="1"/>
    <x v="2"/>
    <x v="3"/>
    <x v="2"/>
    <x v="0"/>
    <x v="0"/>
    <x v="1"/>
    <x v="1"/>
    <n v="0"/>
    <n v="0"/>
    <n v="406.84899999999999"/>
    <n v="406.84899999999999"/>
    <n v="406.84899999999999"/>
    <n v="406.84899999999999"/>
    <n v="3261"/>
    <x v="0"/>
    <n v="0"/>
    <n v="0"/>
    <n v="26"/>
    <n v="57"/>
    <n v="0"/>
    <n v="462.27"/>
    <n v="221.6"/>
    <m/>
    <n v="496.93189676911004"/>
    <n v="370.68018829502824"/>
    <n v="0"/>
    <n v="188074.08722999998"/>
    <n v="90157.738400000002"/>
    <n v="0"/>
    <n v="202176.24526861563"/>
    <n v="150810.86392764395"/>
  </r>
  <r>
    <s v="Refaturamento - Regular"/>
    <x v="1"/>
    <x v="2"/>
    <x v="3"/>
    <x v="2"/>
    <x v="0"/>
    <x v="0"/>
    <x v="1"/>
    <x v="1"/>
    <n v="0"/>
    <n v="0"/>
    <n v="-0.111"/>
    <n v="-0.111"/>
    <n v="-0.111"/>
    <n v="-0.111"/>
    <n v="0"/>
    <x v="0"/>
    <n v="0"/>
    <n v="0"/>
    <n v="26"/>
    <n v="57"/>
    <n v="0"/>
    <n v="462.27"/>
    <n v="221.6"/>
    <m/>
    <n v="496.93189676911004"/>
    <n v="370.68018829502824"/>
    <n v="0"/>
    <n v="-51.311969999999995"/>
    <n v="-24.5976"/>
    <n v="0"/>
    <n v="-55.159440541371218"/>
    <n v="-41.145500900748132"/>
  </r>
  <r>
    <s v="Sistema de Compensação"/>
    <x v="1"/>
    <x v="2"/>
    <x v="3"/>
    <x v="2"/>
    <x v="0"/>
    <x v="0"/>
    <x v="1"/>
    <x v="1"/>
    <n v="0"/>
    <n v="0"/>
    <n v="3.2170000000000001"/>
    <n v="3.2170000000000001"/>
    <n v="3.2170000000000001"/>
    <n v="3.2170000000000001"/>
    <n v="26"/>
    <x v="0"/>
    <n v="0"/>
    <n v="0"/>
    <n v="26"/>
    <n v="57"/>
    <n v="0"/>
    <n v="462.27"/>
    <n v="221.6"/>
    <m/>
    <n v="496.93189676911004"/>
    <n v="370.68018829502824"/>
    <n v="0"/>
    <n v="1487.1225899999999"/>
    <n v="712.88720000000001"/>
    <n v="0"/>
    <n v="1598.6299119062271"/>
    <n v="1192.4781657451058"/>
  </r>
  <r>
    <s v="Regular"/>
    <x v="1"/>
    <x v="2"/>
    <x v="3"/>
    <x v="2"/>
    <x v="0"/>
    <x v="0"/>
    <x v="1"/>
    <x v="2"/>
    <n v="0"/>
    <n v="0"/>
    <n v="430.00400000000002"/>
    <n v="430.00400000000002"/>
    <n v="430.00400000000002"/>
    <n v="430.00400000000002"/>
    <n v="3283"/>
    <x v="0"/>
    <n v="0"/>
    <n v="0"/>
    <n v="26"/>
    <n v="57"/>
    <n v="0"/>
    <n v="462.27"/>
    <n v="221.6"/>
    <m/>
    <n v="496.93189676911004"/>
    <n v="370.68018829502824"/>
    <n v="0"/>
    <n v="198777.94907999999"/>
    <n v="95288.886400000003"/>
    <n v="0"/>
    <n v="213682.70333830439"/>
    <n v="159393.96368761532"/>
  </r>
  <r>
    <s v="Refaturamento - Regular"/>
    <x v="1"/>
    <x v="2"/>
    <x v="3"/>
    <x v="2"/>
    <x v="0"/>
    <x v="0"/>
    <x v="1"/>
    <x v="2"/>
    <n v="0"/>
    <n v="0"/>
    <n v="-1.139"/>
    <n v="-1.139"/>
    <n v="-1.139"/>
    <n v="-1.139"/>
    <n v="0"/>
    <x v="0"/>
    <n v="0"/>
    <n v="0"/>
    <n v="26"/>
    <n v="57"/>
    <n v="0"/>
    <n v="462.27"/>
    <n v="221.6"/>
    <m/>
    <n v="496.93189676911004"/>
    <n v="370.68018829502824"/>
    <n v="0"/>
    <n v="-526.52553"/>
    <n v="-252.4024"/>
    <n v="0"/>
    <n v="-566.0054304200163"/>
    <n v="-422.2047344680372"/>
  </r>
  <r>
    <s v="Sistema de Compensação"/>
    <x v="1"/>
    <x v="2"/>
    <x v="3"/>
    <x v="2"/>
    <x v="0"/>
    <x v="0"/>
    <x v="1"/>
    <x v="2"/>
    <n v="0"/>
    <n v="0"/>
    <n v="2.8260000000000001"/>
    <n v="2.8260000000000001"/>
    <n v="2.8260000000000001"/>
    <n v="2.8260000000000001"/>
    <n v="27"/>
    <x v="0"/>
    <n v="0"/>
    <n v="0"/>
    <n v="26"/>
    <n v="57"/>
    <n v="0"/>
    <n v="462.27"/>
    <n v="221.6"/>
    <m/>
    <n v="496.93189676911004"/>
    <n v="370.68018829502824"/>
    <n v="0"/>
    <n v="1306.3750199999999"/>
    <n v="626.24159999999995"/>
    <n v="0"/>
    <n v="1404.3295402695051"/>
    <n v="1047.5422121217498"/>
  </r>
  <r>
    <s v="Regular"/>
    <x v="1"/>
    <x v="2"/>
    <x v="3"/>
    <x v="2"/>
    <x v="0"/>
    <x v="0"/>
    <x v="1"/>
    <x v="3"/>
    <n v="0"/>
    <n v="0"/>
    <n v="442.464"/>
    <n v="442.464"/>
    <n v="442.464"/>
    <n v="442.464"/>
    <n v="3261"/>
    <x v="0"/>
    <n v="0"/>
    <n v="0"/>
    <n v="26"/>
    <n v="57"/>
    <n v="0"/>
    <n v="462.27"/>
    <n v="221.6"/>
    <m/>
    <n v="496.93189676911004"/>
    <n v="370.68018829502824"/>
    <n v="0"/>
    <n v="204537.83327999999"/>
    <n v="98050.022400000002"/>
    <n v="0"/>
    <n v="219874.47477204751"/>
    <n v="164012.63883377137"/>
  </r>
  <r>
    <s v="Refaturamento - Regular"/>
    <x v="1"/>
    <x v="2"/>
    <x v="3"/>
    <x v="2"/>
    <x v="0"/>
    <x v="0"/>
    <x v="1"/>
    <x v="3"/>
    <n v="0"/>
    <n v="0"/>
    <n v="1.28"/>
    <n v="1.28"/>
    <n v="1.28"/>
    <n v="1.28"/>
    <n v="0"/>
    <x v="0"/>
    <n v="0"/>
    <n v="0"/>
    <n v="26"/>
    <n v="57"/>
    <n v="0"/>
    <n v="462.27"/>
    <n v="221.6"/>
    <m/>
    <n v="496.93189676911004"/>
    <n v="370.68018829502824"/>
    <n v="0"/>
    <n v="591.7056"/>
    <n v="283.64800000000002"/>
    <n v="0"/>
    <n v="636.07282786446092"/>
    <n v="474.47064101763618"/>
  </r>
  <r>
    <s v="Sistema de Compensação"/>
    <x v="1"/>
    <x v="2"/>
    <x v="3"/>
    <x v="2"/>
    <x v="0"/>
    <x v="0"/>
    <x v="1"/>
    <x v="3"/>
    <n v="0"/>
    <n v="0"/>
    <n v="2.3849999999999998"/>
    <n v="2.3849999999999998"/>
    <n v="2.3849999999999998"/>
    <n v="2.3849999999999998"/>
    <n v="29"/>
    <x v="0"/>
    <n v="0"/>
    <n v="0"/>
    <n v="26"/>
    <n v="57"/>
    <n v="0"/>
    <n v="462.27"/>
    <n v="221.6"/>
    <m/>
    <n v="496.93189676911004"/>
    <n v="370.68018829502824"/>
    <n v="0"/>
    <n v="1102.5139499999998"/>
    <n v="528.51599999999996"/>
    <n v="0"/>
    <n v="1185.1825737943273"/>
    <n v="884.0722490836423"/>
  </r>
  <r>
    <s v="Regular"/>
    <x v="1"/>
    <x v="2"/>
    <x v="3"/>
    <x v="2"/>
    <x v="0"/>
    <x v="0"/>
    <x v="1"/>
    <x v="4"/>
    <n v="0"/>
    <n v="0"/>
    <n v="541.529"/>
    <n v="541.529"/>
    <n v="541.529"/>
    <n v="541.529"/>
    <n v="3263"/>
    <x v="0"/>
    <n v="0"/>
    <n v="0"/>
    <n v="26"/>
    <n v="57"/>
    <n v="0"/>
    <n v="462.27"/>
    <n v="221.6"/>
    <m/>
    <n v="496.93189676911004"/>
    <n v="370.68018829502824"/>
    <n v="0"/>
    <n v="250332.61082999999"/>
    <n v="120002.82639999999"/>
    <n v="0"/>
    <n v="269103.03312547941"/>
    <n v="200734.07168721835"/>
  </r>
  <r>
    <s v="Refaturamento - Regular"/>
    <x v="1"/>
    <x v="2"/>
    <x v="3"/>
    <x v="2"/>
    <x v="0"/>
    <x v="0"/>
    <x v="1"/>
    <x v="4"/>
    <n v="0"/>
    <n v="0"/>
    <n v="-0.48299999999999998"/>
    <n v="-0.48299999999999998"/>
    <n v="-0.48299999999999998"/>
    <n v="-0.48299999999999998"/>
    <n v="0"/>
    <x v="0"/>
    <n v="0"/>
    <n v="0"/>
    <n v="26"/>
    <n v="57"/>
    <n v="0"/>
    <n v="462.27"/>
    <n v="221.6"/>
    <m/>
    <n v="496.93189676911004"/>
    <n v="370.68018829502824"/>
    <n v="0"/>
    <n v="-223.27640999999997"/>
    <n v="-107.03279999999999"/>
    <n v="0"/>
    <n v="-240.01810613948015"/>
    <n v="-179.03853094649864"/>
  </r>
  <r>
    <s v="Sistema de Compensação"/>
    <x v="1"/>
    <x v="2"/>
    <x v="3"/>
    <x v="2"/>
    <x v="0"/>
    <x v="0"/>
    <x v="1"/>
    <x v="4"/>
    <n v="0"/>
    <n v="0"/>
    <n v="4.0149999999999997"/>
    <n v="4.0149999999999997"/>
    <n v="4.0149999999999997"/>
    <n v="4.0149999999999997"/>
    <n v="30"/>
    <x v="0"/>
    <n v="0"/>
    <n v="0"/>
    <n v="26"/>
    <n v="57"/>
    <n v="0"/>
    <n v="462.27"/>
    <n v="221.6"/>
    <m/>
    <n v="496.93189676911004"/>
    <n v="370.68018829502824"/>
    <n v="0"/>
    <n v="1856.0140499999998"/>
    <n v="889.72399999999993"/>
    <n v="0"/>
    <n v="1995.1815655279765"/>
    <n v="1488.2809560045382"/>
  </r>
  <r>
    <s v="Sistema de Compensação"/>
    <x v="1"/>
    <x v="2"/>
    <x v="3"/>
    <x v="2"/>
    <x v="0"/>
    <x v="0"/>
    <x v="1"/>
    <x v="4"/>
    <n v="0"/>
    <n v="0"/>
    <n v="-0.40899999999999997"/>
    <n v="-0.40899999999999997"/>
    <n v="-0.40899999999999997"/>
    <n v="-0.40899999999999997"/>
    <n v="2"/>
    <x v="0"/>
    <n v="0"/>
    <n v="0"/>
    <n v="26"/>
    <n v="57"/>
    <n v="0"/>
    <n v="462.27"/>
    <n v="221.6"/>
    <m/>
    <n v="496.93189676911004"/>
    <n v="370.68018829502824"/>
    <n v="0"/>
    <n v="-189.06842999999998"/>
    <n v="-90.634399999999985"/>
    <n v="0"/>
    <n v="-203.24514577856598"/>
    <n v="-151.60819701266655"/>
  </r>
  <r>
    <s v="Regular"/>
    <x v="1"/>
    <x v="2"/>
    <x v="3"/>
    <x v="2"/>
    <x v="0"/>
    <x v="0"/>
    <x v="1"/>
    <x v="5"/>
    <n v="0"/>
    <n v="0"/>
    <n v="465.08600000000001"/>
    <n v="465.08600000000001"/>
    <n v="465.08600000000001"/>
    <n v="465.08600000000001"/>
    <n v="3276"/>
    <x v="0"/>
    <n v="0"/>
    <n v="0"/>
    <n v="26"/>
    <n v="57"/>
    <n v="0"/>
    <n v="462.27"/>
    <n v="221.6"/>
    <m/>
    <n v="496.93189676911004"/>
    <n v="370.68018829502824"/>
    <n v="0"/>
    <n v="214995.30522000001"/>
    <n v="103063.0576"/>
    <n v="0"/>
    <n v="231116.06814075832"/>
    <n v="172398.16605338152"/>
  </r>
  <r>
    <s v="Refaturamento - Regular"/>
    <x v="1"/>
    <x v="2"/>
    <x v="3"/>
    <x v="2"/>
    <x v="0"/>
    <x v="0"/>
    <x v="1"/>
    <x v="5"/>
    <n v="0"/>
    <n v="0"/>
    <n v="-0.8"/>
    <n v="-0.8"/>
    <n v="-0.8"/>
    <n v="-0.8"/>
    <n v="0"/>
    <x v="0"/>
    <n v="0"/>
    <n v="0"/>
    <n v="26"/>
    <n v="57"/>
    <n v="0"/>
    <n v="462.27"/>
    <n v="221.6"/>
    <m/>
    <n v="496.93189676911004"/>
    <n v="370.68018829502824"/>
    <n v="0"/>
    <n v="-369.81600000000003"/>
    <n v="-177.28"/>
    <n v="0"/>
    <n v="-397.54551741528803"/>
    <n v="-296.54415063602261"/>
  </r>
  <r>
    <s v="Sistema de Compensação"/>
    <x v="1"/>
    <x v="2"/>
    <x v="3"/>
    <x v="2"/>
    <x v="0"/>
    <x v="0"/>
    <x v="1"/>
    <x v="5"/>
    <n v="0"/>
    <n v="0"/>
    <n v="3.8490000000000002"/>
    <n v="3.8490000000000002"/>
    <n v="3.8490000000000002"/>
    <n v="3.8490000000000002"/>
    <n v="32"/>
    <x v="0"/>
    <n v="0"/>
    <n v="0"/>
    <n v="26"/>
    <n v="57"/>
    <n v="0"/>
    <n v="462.27"/>
    <n v="221.6"/>
    <m/>
    <n v="496.93189676911004"/>
    <n v="370.68018829502824"/>
    <n v="0"/>
    <n v="1779.2772299999999"/>
    <n v="852.9384"/>
    <n v="0"/>
    <n v="1912.6908706643046"/>
    <n v="1426.7480447475639"/>
  </r>
  <r>
    <s v="Regular"/>
    <x v="1"/>
    <x v="2"/>
    <x v="3"/>
    <x v="2"/>
    <x v="0"/>
    <x v="0"/>
    <x v="1"/>
    <x v="6"/>
    <n v="0"/>
    <n v="0"/>
    <n v="501.85"/>
    <n v="501.85"/>
    <n v="501.85"/>
    <n v="501.85"/>
    <n v="3273"/>
    <x v="0"/>
    <n v="0"/>
    <n v="0"/>
    <n v="26"/>
    <n v="57"/>
    <n v="0"/>
    <n v="462.27"/>
    <n v="221.6"/>
    <m/>
    <n v="496.93189676911004"/>
    <n v="370.68018829502824"/>
    <n v="0"/>
    <n v="231990.19949999999"/>
    <n v="111209.96"/>
    <n v="0"/>
    <n v="249385.27239357788"/>
    <n v="186025.85249585993"/>
  </r>
  <r>
    <s v="Regular"/>
    <x v="1"/>
    <x v="2"/>
    <x v="3"/>
    <x v="2"/>
    <x v="0"/>
    <x v="0"/>
    <x v="1"/>
    <x v="7"/>
    <n v="0"/>
    <n v="0"/>
    <n v="454.63400000000001"/>
    <n v="454.63400000000001"/>
    <n v="454.63400000000001"/>
    <n v="454.63400000000001"/>
    <n v="3280"/>
    <x v="0"/>
    <n v="0"/>
    <n v="0"/>
    <n v="26"/>
    <n v="57"/>
    <n v="0"/>
    <n v="462.27"/>
    <n v="221.6"/>
    <m/>
    <n v="496.93189676911004"/>
    <n v="370.68018829502824"/>
    <n v="0"/>
    <n v="210163.65917999999"/>
    <n v="100746.8944"/>
    <n v="0"/>
    <n v="225922.13595572757"/>
    <n v="168523.81672532187"/>
  </r>
  <r>
    <s v="Refaturamento - Regular"/>
    <x v="1"/>
    <x v="2"/>
    <x v="3"/>
    <x v="2"/>
    <x v="0"/>
    <x v="0"/>
    <x v="1"/>
    <x v="7"/>
    <n v="0"/>
    <n v="0"/>
    <n v="-0.56000000000000005"/>
    <n v="-0.56000000000000005"/>
    <n v="-0.56000000000000005"/>
    <n v="-0.56000000000000005"/>
    <n v="0"/>
    <x v="0"/>
    <n v="0"/>
    <n v="0"/>
    <n v="26"/>
    <n v="57"/>
    <n v="0"/>
    <n v="462.27"/>
    <n v="221.6"/>
    <m/>
    <n v="496.93189676911004"/>
    <n v="370.68018829502824"/>
    <n v="0"/>
    <n v="-258.87119999999999"/>
    <n v="-124.096"/>
    <n v="0"/>
    <n v="-278.28186219070164"/>
    <n v="-207.58090544521585"/>
  </r>
  <r>
    <s v="Sistema de Compensação"/>
    <x v="1"/>
    <x v="2"/>
    <x v="3"/>
    <x v="2"/>
    <x v="0"/>
    <x v="0"/>
    <x v="1"/>
    <x v="7"/>
    <n v="0"/>
    <n v="0"/>
    <n v="4.4779999999999998"/>
    <n v="4.4779999999999998"/>
    <n v="4.4779999999999998"/>
    <n v="4.4779999999999998"/>
    <n v="36"/>
    <x v="0"/>
    <n v="0"/>
    <n v="0"/>
    <n v="26"/>
    <n v="57"/>
    <n v="0"/>
    <n v="462.27"/>
    <n v="221.6"/>
    <m/>
    <n v="496.93189676911004"/>
    <n v="370.68018829502824"/>
    <n v="0"/>
    <n v="2070.0450599999999"/>
    <n v="992.32479999999987"/>
    <n v="0"/>
    <n v="2225.2610337320748"/>
    <n v="1659.9058831851364"/>
  </r>
  <r>
    <s v="Regular"/>
    <x v="1"/>
    <x v="2"/>
    <x v="3"/>
    <x v="2"/>
    <x v="0"/>
    <x v="0"/>
    <x v="1"/>
    <x v="8"/>
    <n v="0"/>
    <n v="0"/>
    <n v="414.59500000000003"/>
    <n v="414.59500000000003"/>
    <n v="414.59500000000003"/>
    <n v="414.59500000000003"/>
    <n v="3286"/>
    <x v="0"/>
    <n v="0"/>
    <n v="0"/>
    <n v="26"/>
    <n v="57"/>
    <n v="0"/>
    <n v="462.27"/>
    <n v="221.6"/>
    <m/>
    <n v="496.93189676911004"/>
    <n v="370.68018829502824"/>
    <n v="0"/>
    <n v="191654.83065000002"/>
    <n v="91874.252000000008"/>
    <n v="0"/>
    <n v="206025.47974098919"/>
    <n v="153682.15266617725"/>
  </r>
  <r>
    <s v="Refaturamento - Regular"/>
    <x v="1"/>
    <x v="2"/>
    <x v="3"/>
    <x v="2"/>
    <x v="0"/>
    <x v="0"/>
    <x v="1"/>
    <x v="8"/>
    <n v="0"/>
    <n v="0"/>
    <n v="-1.095"/>
    <n v="-1.095"/>
    <n v="-1.095"/>
    <n v="-1.095"/>
    <n v="0"/>
    <x v="0"/>
    <n v="0"/>
    <n v="0"/>
    <n v="26"/>
    <n v="57"/>
    <n v="0"/>
    <n v="462.27"/>
    <n v="221.6"/>
    <m/>
    <n v="496.93189676911004"/>
    <n v="370.68018829502824"/>
    <n v="0"/>
    <n v="-506.18564999999995"/>
    <n v="-242.65199999999999"/>
    <n v="0"/>
    <n v="-544.14042696217552"/>
    <n v="-405.89480618305589"/>
  </r>
  <r>
    <s v="Sistema de Compensação"/>
    <x v="1"/>
    <x v="2"/>
    <x v="3"/>
    <x v="2"/>
    <x v="0"/>
    <x v="0"/>
    <x v="1"/>
    <x v="8"/>
    <n v="0"/>
    <n v="0"/>
    <n v="4.42"/>
    <n v="4.42"/>
    <n v="4.42"/>
    <n v="4.42"/>
    <n v="36"/>
    <x v="0"/>
    <n v="0"/>
    <n v="0"/>
    <n v="26"/>
    <n v="57"/>
    <n v="0"/>
    <n v="462.27"/>
    <n v="221.6"/>
    <m/>
    <n v="496.93189676911004"/>
    <n v="370.68018829502824"/>
    <n v="0"/>
    <n v="2043.2333999999998"/>
    <n v="979.47199999999998"/>
    <n v="0"/>
    <n v="2196.4389837194663"/>
    <n v="1638.4064322640247"/>
  </r>
  <r>
    <s v="Regular"/>
    <x v="1"/>
    <x v="2"/>
    <x v="3"/>
    <x v="2"/>
    <x v="0"/>
    <x v="0"/>
    <x v="1"/>
    <x v="9"/>
    <n v="0"/>
    <n v="0"/>
    <n v="374.351"/>
    <n v="374.351"/>
    <n v="374.351"/>
    <n v="374.351"/>
    <n v="3173"/>
    <x v="0"/>
    <n v="0"/>
    <n v="0"/>
    <n v="26"/>
    <n v="57"/>
    <n v="0"/>
    <n v="462.27"/>
    <n v="221.6"/>
    <m/>
    <n v="496.93189676911004"/>
    <n v="370.68018829502824"/>
    <n v="0"/>
    <n v="173051.23676999999"/>
    <n v="82956.181599999996"/>
    <n v="0"/>
    <n v="186026.9524874131"/>
    <n v="138764.49916843211"/>
  </r>
  <r>
    <s v="Refaturamento - Regular"/>
    <x v="1"/>
    <x v="2"/>
    <x v="3"/>
    <x v="2"/>
    <x v="0"/>
    <x v="0"/>
    <x v="1"/>
    <x v="9"/>
    <n v="0"/>
    <n v="0"/>
    <n v="-1.657"/>
    <n v="-1.657"/>
    <n v="-1.657"/>
    <n v="-1.657"/>
    <n v="0"/>
    <x v="0"/>
    <n v="0"/>
    <n v="0"/>
    <n v="26"/>
    <n v="57"/>
    <n v="0"/>
    <n v="462.27"/>
    <n v="221.6"/>
    <m/>
    <n v="496.93189676911004"/>
    <n v="370.68018829502824"/>
    <n v="0"/>
    <n v="-765.98139000000003"/>
    <n v="-367.19119999999998"/>
    <n v="0"/>
    <n v="-823.41615294641531"/>
    <n v="-614.21707200486185"/>
  </r>
  <r>
    <s v="Sistema de Compensação"/>
    <x v="1"/>
    <x v="2"/>
    <x v="3"/>
    <x v="2"/>
    <x v="0"/>
    <x v="0"/>
    <x v="1"/>
    <x v="9"/>
    <n v="0"/>
    <n v="0"/>
    <n v="4.8550000000000004"/>
    <n v="4.8550000000000004"/>
    <n v="4.8550000000000004"/>
    <n v="4.8550000000000004"/>
    <n v="36"/>
    <x v="0"/>
    <n v="0"/>
    <n v="0"/>
    <n v="26"/>
    <n v="57"/>
    <n v="0"/>
    <n v="462.27"/>
    <n v="221.6"/>
    <m/>
    <n v="496.93189676911004"/>
    <n v="370.68018829502824"/>
    <n v="0"/>
    <n v="2244.3208500000001"/>
    <n v="1075.8680000000002"/>
    <n v="0"/>
    <n v="2412.6043588140296"/>
    <n v="1799.6523141723624"/>
  </r>
  <r>
    <s v="Regular"/>
    <x v="1"/>
    <x v="2"/>
    <x v="3"/>
    <x v="2"/>
    <x v="0"/>
    <x v="0"/>
    <x v="1"/>
    <x v="10"/>
    <n v="0"/>
    <n v="0"/>
    <n v="391.23700000000002"/>
    <n v="391.23700000000002"/>
    <n v="391.23700000000002"/>
    <n v="391.23700000000002"/>
    <n v="3186"/>
    <x v="0"/>
    <n v="0"/>
    <n v="0"/>
    <n v="26"/>
    <n v="57"/>
    <n v="0"/>
    <n v="462.27"/>
    <n v="221.6"/>
    <m/>
    <n v="496.93189676911004"/>
    <n v="370.68018829502824"/>
    <n v="0"/>
    <n v="180857.12799000001"/>
    <n v="86698.119200000001"/>
    <n v="0"/>
    <n v="194418.14449625631"/>
    <n v="145023.80482798198"/>
  </r>
  <r>
    <s v="Refaturamento - Regular"/>
    <x v="1"/>
    <x v="2"/>
    <x v="3"/>
    <x v="2"/>
    <x v="0"/>
    <x v="0"/>
    <x v="1"/>
    <x v="10"/>
    <n v="0"/>
    <n v="0"/>
    <n v="-0.378"/>
    <n v="-0.378"/>
    <n v="-0.378"/>
    <n v="-0.378"/>
    <n v="0"/>
    <x v="0"/>
    <n v="0"/>
    <n v="0"/>
    <n v="26"/>
    <n v="57"/>
    <n v="0"/>
    <n v="462.27"/>
    <n v="221.6"/>
    <m/>
    <n v="496.93189676911004"/>
    <n v="370.68018829502824"/>
    <n v="0"/>
    <n v="-174.73805999999999"/>
    <n v="-83.764799999999994"/>
    <n v="0"/>
    <n v="-187.8402569787236"/>
    <n v="-140.11711117552068"/>
  </r>
  <r>
    <s v="Sistema de Compensação"/>
    <x v="1"/>
    <x v="2"/>
    <x v="3"/>
    <x v="2"/>
    <x v="0"/>
    <x v="0"/>
    <x v="1"/>
    <x v="10"/>
    <n v="0"/>
    <n v="0"/>
    <n v="4.8810000000000002"/>
    <n v="4.8810000000000002"/>
    <n v="4.8810000000000002"/>
    <n v="4.8810000000000002"/>
    <n v="39"/>
    <x v="0"/>
    <n v="0"/>
    <n v="0"/>
    <n v="26"/>
    <n v="57"/>
    <n v="0"/>
    <n v="462.27"/>
    <n v="221.6"/>
    <m/>
    <n v="496.93189676911004"/>
    <n v="370.68018829502824"/>
    <n v="0"/>
    <n v="2256.3398699999998"/>
    <n v="1081.6296"/>
    <n v="0"/>
    <n v="2425.5245881300261"/>
    <n v="1809.289999068033"/>
  </r>
  <r>
    <s v="Regular"/>
    <x v="1"/>
    <x v="2"/>
    <x v="3"/>
    <x v="2"/>
    <x v="0"/>
    <x v="0"/>
    <x v="1"/>
    <x v="11"/>
    <n v="0"/>
    <n v="0"/>
    <n v="403.43799999999999"/>
    <n v="403.43799999999999"/>
    <n v="403.43799999999999"/>
    <n v="403.43799999999999"/>
    <n v="3283"/>
    <x v="0"/>
    <n v="0"/>
    <n v="0"/>
    <n v="26"/>
    <n v="57"/>
    <n v="0"/>
    <n v="462.27"/>
    <n v="221.6"/>
    <m/>
    <n v="496.93189676911004"/>
    <n v="370.68018829502824"/>
    <n v="0"/>
    <n v="186497.28425999999"/>
    <n v="89401.860799999995"/>
    <n v="0"/>
    <n v="200481.21056873622"/>
    <n v="149546.47380536961"/>
  </r>
  <r>
    <s v="Refaturamento - Regular"/>
    <x v="1"/>
    <x v="2"/>
    <x v="3"/>
    <x v="2"/>
    <x v="0"/>
    <x v="0"/>
    <x v="1"/>
    <x v="11"/>
    <n v="0"/>
    <n v="0"/>
    <n v="-0.83899999999999997"/>
    <n v="-0.83899999999999997"/>
    <n v="-0.83899999999999997"/>
    <n v="-0.83899999999999997"/>
    <n v="0"/>
    <x v="0"/>
    <n v="0"/>
    <n v="0"/>
    <n v="26"/>
    <n v="57"/>
    <n v="0"/>
    <n v="462.27"/>
    <n v="221.6"/>
    <m/>
    <n v="496.93189676911004"/>
    <n v="370.68018829502824"/>
    <n v="0"/>
    <n v="-387.84452999999996"/>
    <n v="-185.92239999999998"/>
    <n v="0"/>
    <n v="-416.92586138928328"/>
    <n v="-311.00067797952869"/>
  </r>
  <r>
    <s v="Sistema de Compensação"/>
    <x v="1"/>
    <x v="2"/>
    <x v="3"/>
    <x v="2"/>
    <x v="0"/>
    <x v="0"/>
    <x v="1"/>
    <x v="11"/>
    <n v="0"/>
    <n v="0"/>
    <n v="4.7830000000000004"/>
    <n v="4.7830000000000004"/>
    <n v="4.7830000000000004"/>
    <n v="4.7830000000000004"/>
    <n v="41"/>
    <x v="0"/>
    <n v="0"/>
    <n v="0"/>
    <n v="26"/>
    <n v="57"/>
    <n v="0"/>
    <n v="462.27"/>
    <n v="221.6"/>
    <m/>
    <n v="496.93189676911004"/>
    <n v="370.68018829502824"/>
    <n v="0"/>
    <n v="2211.0374099999999"/>
    <n v="1059.9128000000001"/>
    <n v="0"/>
    <n v="2376.8252622466534"/>
    <n v="1772.9633406151202"/>
  </r>
  <r>
    <s v="Sistema de Compensação"/>
    <x v="1"/>
    <x v="2"/>
    <x v="3"/>
    <x v="2"/>
    <x v="0"/>
    <x v="0"/>
    <x v="1"/>
    <x v="11"/>
    <n v="0"/>
    <n v="0"/>
    <n v="-0.55300000000000005"/>
    <n v="-0.55300000000000005"/>
    <n v="-0.55300000000000005"/>
    <n v="-0.55300000000000005"/>
    <n v="5"/>
    <x v="0"/>
    <n v="0"/>
    <n v="0"/>
    <n v="26"/>
    <n v="57"/>
    <n v="0"/>
    <n v="462.27"/>
    <n v="221.6"/>
    <m/>
    <n v="496.93189676911004"/>
    <n v="370.68018829502824"/>
    <n v="0"/>
    <n v="-255.63531"/>
    <n v="-122.54480000000001"/>
    <n v="0"/>
    <n v="-274.80333891331787"/>
    <n v="-204.98614412715062"/>
  </r>
  <r>
    <s v="Regular"/>
    <x v="1"/>
    <x v="2"/>
    <x v="3"/>
    <x v="3"/>
    <x v="0"/>
    <x v="0"/>
    <x v="1"/>
    <x v="0"/>
    <n v="0"/>
    <n v="0"/>
    <n v="3.63"/>
    <n v="3.63"/>
    <n v="3.63"/>
    <n v="3.63"/>
    <n v="0"/>
    <x v="0"/>
    <n v="0"/>
    <n v="0"/>
    <n v="31"/>
    <n v="78"/>
    <n v="0"/>
    <n v="128.82"/>
    <n v="77.56"/>
    <m/>
    <n v="127.27094738503071"/>
    <n v="129.73806590325987"/>
    <n v="0"/>
    <n v="467.61659999999995"/>
    <n v="281.5428"/>
    <n v="0"/>
    <n v="461.99353900766147"/>
    <n v="470.94917922883332"/>
  </r>
  <r>
    <s v="Regular"/>
    <x v="1"/>
    <x v="2"/>
    <x v="3"/>
    <x v="3"/>
    <x v="0"/>
    <x v="0"/>
    <x v="1"/>
    <x v="1"/>
    <n v="0"/>
    <n v="0"/>
    <n v="3.63"/>
    <n v="3.63"/>
    <n v="3.63"/>
    <n v="3.63"/>
    <n v="0"/>
    <x v="0"/>
    <n v="0"/>
    <n v="0"/>
    <n v="31"/>
    <n v="78"/>
    <n v="0"/>
    <n v="128.82"/>
    <n v="77.56"/>
    <m/>
    <n v="127.27094738503071"/>
    <n v="129.73806590325987"/>
    <n v="0"/>
    <n v="467.61659999999995"/>
    <n v="281.5428"/>
    <n v="0"/>
    <n v="461.99353900766147"/>
    <n v="470.94917922883332"/>
  </r>
  <r>
    <s v="Regular"/>
    <x v="1"/>
    <x v="2"/>
    <x v="3"/>
    <x v="3"/>
    <x v="0"/>
    <x v="0"/>
    <x v="1"/>
    <x v="2"/>
    <n v="0"/>
    <n v="0"/>
    <n v="3.6"/>
    <n v="3.6"/>
    <n v="3.6"/>
    <n v="3.6"/>
    <n v="0"/>
    <x v="0"/>
    <n v="0"/>
    <n v="0"/>
    <n v="31"/>
    <n v="78"/>
    <n v="0"/>
    <n v="128.82"/>
    <n v="77.56"/>
    <m/>
    <n v="127.27094738503071"/>
    <n v="129.73806590325987"/>
    <n v="0"/>
    <n v="463.75200000000001"/>
    <n v="279.21600000000001"/>
    <n v="0"/>
    <n v="458.17541058611056"/>
    <n v="467.05703725173555"/>
  </r>
  <r>
    <s v="Regular"/>
    <x v="1"/>
    <x v="2"/>
    <x v="3"/>
    <x v="3"/>
    <x v="0"/>
    <x v="0"/>
    <x v="1"/>
    <x v="3"/>
    <n v="0"/>
    <n v="0"/>
    <n v="3.66"/>
    <n v="3.66"/>
    <n v="3.66"/>
    <n v="3.66"/>
    <n v="0"/>
    <x v="0"/>
    <n v="0"/>
    <n v="0"/>
    <n v="31"/>
    <n v="78"/>
    <n v="0"/>
    <n v="128.82"/>
    <n v="77.56"/>
    <m/>
    <n v="127.27094738503071"/>
    <n v="129.73806590325987"/>
    <n v="0"/>
    <n v="471.4812"/>
    <n v="283.86959999999999"/>
    <n v="0"/>
    <n v="465.81166742921243"/>
    <n v="474.84132120593114"/>
  </r>
  <r>
    <s v="Regular"/>
    <x v="1"/>
    <x v="2"/>
    <x v="3"/>
    <x v="3"/>
    <x v="0"/>
    <x v="0"/>
    <x v="1"/>
    <x v="4"/>
    <n v="0"/>
    <n v="0"/>
    <n v="3.6"/>
    <n v="3.6"/>
    <n v="3.6"/>
    <n v="3.6"/>
    <n v="0"/>
    <x v="0"/>
    <n v="0"/>
    <n v="0"/>
    <n v="31"/>
    <n v="78"/>
    <n v="0"/>
    <n v="128.82"/>
    <n v="77.56"/>
    <m/>
    <n v="127.27094738503071"/>
    <n v="129.73806590325987"/>
    <n v="0"/>
    <n v="463.75200000000001"/>
    <n v="279.21600000000001"/>
    <n v="0"/>
    <n v="458.17541058611056"/>
    <n v="467.05703725173555"/>
  </r>
  <r>
    <s v="Regular"/>
    <x v="1"/>
    <x v="2"/>
    <x v="3"/>
    <x v="3"/>
    <x v="0"/>
    <x v="0"/>
    <x v="1"/>
    <x v="5"/>
    <n v="0"/>
    <n v="0"/>
    <n v="3.72"/>
    <n v="3.72"/>
    <n v="3.72"/>
    <n v="3.72"/>
    <n v="1"/>
    <x v="0"/>
    <n v="0"/>
    <n v="0"/>
    <n v="31"/>
    <n v="78"/>
    <n v="0"/>
    <n v="128.82"/>
    <n v="77.56"/>
    <m/>
    <n v="127.27094738503071"/>
    <n v="129.73806590325987"/>
    <n v="0"/>
    <n v="479.21039999999999"/>
    <n v="288.52320000000003"/>
    <n v="0"/>
    <n v="473.44792427231425"/>
    <n v="482.62560516012672"/>
  </r>
  <r>
    <s v="Regular"/>
    <x v="1"/>
    <x v="2"/>
    <x v="3"/>
    <x v="3"/>
    <x v="0"/>
    <x v="0"/>
    <x v="1"/>
    <x v="6"/>
    <n v="0"/>
    <n v="0"/>
    <n v="3.74"/>
    <n v="3.74"/>
    <n v="3.74"/>
    <n v="3.74"/>
    <n v="2"/>
    <x v="0"/>
    <n v="0"/>
    <n v="0"/>
    <n v="31"/>
    <n v="78"/>
    <n v="0"/>
    <n v="128.82"/>
    <n v="77.56"/>
    <m/>
    <n v="127.27094738503071"/>
    <n v="129.73806590325987"/>
    <n v="0"/>
    <n v="481.78680000000003"/>
    <n v="290.07440000000003"/>
    <n v="0"/>
    <n v="475.99334322001488"/>
    <n v="485.22036647819192"/>
  </r>
  <r>
    <s v="Regular"/>
    <x v="1"/>
    <x v="2"/>
    <x v="3"/>
    <x v="3"/>
    <x v="0"/>
    <x v="0"/>
    <x v="1"/>
    <x v="7"/>
    <n v="0"/>
    <n v="0"/>
    <n v="3.84"/>
    <n v="3.84"/>
    <n v="3.84"/>
    <n v="3.84"/>
    <n v="0"/>
    <x v="0"/>
    <n v="0"/>
    <n v="0"/>
    <n v="31"/>
    <n v="78"/>
    <n v="0"/>
    <n v="128.82"/>
    <n v="77.56"/>
    <m/>
    <n v="127.27094738503071"/>
    <n v="129.73806590325987"/>
    <n v="0"/>
    <n v="494.66879999999998"/>
    <n v="297.8304"/>
    <n v="0"/>
    <n v="488.72043795851789"/>
    <n v="498.19417306851784"/>
  </r>
  <r>
    <s v="Regular"/>
    <x v="1"/>
    <x v="2"/>
    <x v="3"/>
    <x v="3"/>
    <x v="0"/>
    <x v="0"/>
    <x v="1"/>
    <x v="8"/>
    <n v="0"/>
    <n v="0"/>
    <n v="3.93"/>
    <n v="3.93"/>
    <n v="3.93"/>
    <n v="3.93"/>
    <n v="0"/>
    <x v="0"/>
    <n v="0"/>
    <n v="0"/>
    <n v="31"/>
    <n v="78"/>
    <n v="0"/>
    <n v="128.82"/>
    <n v="77.56"/>
    <m/>
    <n v="127.27094738503071"/>
    <n v="129.73806590325987"/>
    <n v="0"/>
    <n v="506.26260000000002"/>
    <n v="304.81080000000003"/>
    <n v="0"/>
    <n v="500.17482322317073"/>
    <n v="509.87059899981131"/>
  </r>
  <r>
    <s v="Regular"/>
    <x v="1"/>
    <x v="2"/>
    <x v="3"/>
    <x v="3"/>
    <x v="0"/>
    <x v="0"/>
    <x v="1"/>
    <x v="9"/>
    <n v="0"/>
    <n v="0"/>
    <n v="7.44"/>
    <n v="7.44"/>
    <n v="7.44"/>
    <n v="7.44"/>
    <n v="3"/>
    <x v="0"/>
    <n v="0"/>
    <n v="0"/>
    <n v="31"/>
    <n v="78"/>
    <n v="0"/>
    <n v="128.82"/>
    <n v="77.56"/>
    <m/>
    <n v="127.27094738503071"/>
    <n v="129.73806590325987"/>
    <n v="0"/>
    <n v="958.42079999999999"/>
    <n v="577.04640000000006"/>
    <n v="0"/>
    <n v="946.89584854462851"/>
    <n v="965.25121032025345"/>
  </r>
  <r>
    <s v="Refaturamento - Regular"/>
    <x v="1"/>
    <x v="2"/>
    <x v="3"/>
    <x v="3"/>
    <x v="0"/>
    <x v="0"/>
    <x v="1"/>
    <x v="9"/>
    <n v="0"/>
    <n v="0"/>
    <n v="0.06"/>
    <n v="0.06"/>
    <n v="0.06"/>
    <n v="0.06"/>
    <n v="0"/>
    <x v="0"/>
    <n v="0"/>
    <n v="0"/>
    <n v="31"/>
    <n v="78"/>
    <n v="0"/>
    <n v="128.82"/>
    <n v="77.56"/>
    <m/>
    <n v="127.27094738503071"/>
    <n v="129.73806590325987"/>
    <n v="0"/>
    <n v="7.7291999999999996"/>
    <n v="4.6536"/>
    <n v="0"/>
    <n v="7.6362568431018421"/>
    <n v="7.7842839541955913"/>
  </r>
  <r>
    <s v="Regular"/>
    <x v="1"/>
    <x v="2"/>
    <x v="3"/>
    <x v="3"/>
    <x v="0"/>
    <x v="0"/>
    <x v="1"/>
    <x v="10"/>
    <n v="0"/>
    <n v="0"/>
    <n v="7.4160000000000004"/>
    <n v="7.4160000000000004"/>
    <n v="7.4160000000000004"/>
    <n v="7.4160000000000004"/>
    <n v="11"/>
    <x v="0"/>
    <n v="0"/>
    <n v="0"/>
    <n v="31"/>
    <n v="78"/>
    <n v="0"/>
    <n v="128.82"/>
    <n v="77.56"/>
    <m/>
    <n v="127.27094738503071"/>
    <n v="129.73806590325987"/>
    <n v="0"/>
    <n v="955.32911999999999"/>
    <n v="575.18496000000005"/>
    <n v="0"/>
    <n v="943.84134580738782"/>
    <n v="962.13749673857524"/>
  </r>
  <r>
    <s v="Regular"/>
    <x v="1"/>
    <x v="2"/>
    <x v="3"/>
    <x v="3"/>
    <x v="0"/>
    <x v="0"/>
    <x v="1"/>
    <x v="11"/>
    <n v="0"/>
    <n v="0"/>
    <n v="5.55"/>
    <n v="5.55"/>
    <n v="5.55"/>
    <n v="5.55"/>
    <n v="3"/>
    <x v="0"/>
    <n v="0"/>
    <n v="0"/>
    <n v="31"/>
    <n v="78"/>
    <n v="0"/>
    <n v="128.82"/>
    <n v="77.56"/>
    <m/>
    <n v="127.27094738503071"/>
    <n v="129.73806590325987"/>
    <n v="0"/>
    <n v="714.95099999999991"/>
    <n v="430.45800000000003"/>
    <n v="0"/>
    <n v="706.35375798692041"/>
    <n v="720.04626576309226"/>
  </r>
  <r>
    <s v="Regular"/>
    <x v="1"/>
    <x v="2"/>
    <x v="3"/>
    <x v="4"/>
    <x v="0"/>
    <x v="0"/>
    <x v="1"/>
    <x v="0"/>
    <n v="0"/>
    <n v="0"/>
    <n v="7.7220000000000004"/>
    <n v="7.7220000000000004"/>
    <n v="7.7220000000000004"/>
    <n v="7.7220000000000004"/>
    <n v="30"/>
    <x v="0"/>
    <n v="0"/>
    <n v="0"/>
    <n v="33"/>
    <n v="84"/>
    <n v="0"/>
    <n v="220.84"/>
    <n v="132.96"/>
    <m/>
    <n v="218.17876694576694"/>
    <n v="222.40811297701694"/>
    <n v="0"/>
    <n v="1705.3264800000002"/>
    <n v="1026.71712"/>
    <n v="0"/>
    <n v="1684.7764383552123"/>
    <n v="1717.435448408525"/>
  </r>
  <r>
    <s v="Regular"/>
    <x v="1"/>
    <x v="2"/>
    <x v="3"/>
    <x v="4"/>
    <x v="0"/>
    <x v="0"/>
    <x v="1"/>
    <x v="1"/>
    <n v="0"/>
    <n v="0"/>
    <n v="7.4450000000000003"/>
    <n v="7.4450000000000003"/>
    <n v="7.4450000000000003"/>
    <n v="7.4450000000000003"/>
    <n v="39"/>
    <x v="0"/>
    <n v="0"/>
    <n v="0"/>
    <n v="33"/>
    <n v="84"/>
    <n v="0"/>
    <n v="220.84"/>
    <n v="132.96"/>
    <m/>
    <n v="218.17876694576694"/>
    <n v="222.40811297701694"/>
    <n v="0"/>
    <n v="1644.1538"/>
    <n v="989.88720000000012"/>
    <n v="0"/>
    <n v="1624.340919911235"/>
    <n v="1655.8284011138912"/>
  </r>
  <r>
    <s v="Regular"/>
    <x v="1"/>
    <x v="2"/>
    <x v="3"/>
    <x v="4"/>
    <x v="0"/>
    <x v="0"/>
    <x v="1"/>
    <x v="2"/>
    <n v="0"/>
    <n v="0"/>
    <n v="7.48"/>
    <n v="7.48"/>
    <n v="7.48"/>
    <n v="7.48"/>
    <n v="32"/>
    <x v="0"/>
    <n v="0"/>
    <n v="0"/>
    <n v="33"/>
    <n v="84"/>
    <n v="0"/>
    <n v="220.84"/>
    <n v="132.96"/>
    <m/>
    <n v="218.17876694576694"/>
    <n v="222.40811297701694"/>
    <n v="0"/>
    <n v="1651.8832000000002"/>
    <n v="994.5408000000001"/>
    <n v="0"/>
    <n v="1631.9771767543368"/>
    <n v="1663.6126850680869"/>
  </r>
  <r>
    <s v="Regular"/>
    <x v="1"/>
    <x v="2"/>
    <x v="3"/>
    <x v="4"/>
    <x v="0"/>
    <x v="0"/>
    <x v="1"/>
    <x v="3"/>
    <n v="0"/>
    <n v="0"/>
    <n v="7.7610000000000001"/>
    <n v="7.7610000000000001"/>
    <n v="7.7610000000000001"/>
    <n v="7.7610000000000001"/>
    <n v="27"/>
    <x v="0"/>
    <n v="0"/>
    <n v="0"/>
    <n v="33"/>
    <n v="84"/>
    <n v="0"/>
    <n v="220.84"/>
    <n v="132.96"/>
    <m/>
    <n v="218.17876694576694"/>
    <n v="222.40811297701694"/>
    <n v="0"/>
    <n v="1713.9392400000002"/>
    <n v="1031.90256"/>
    <n v="0"/>
    <n v="1693.2854102660972"/>
    <n v="1726.1093648146284"/>
  </r>
  <r>
    <s v="Regular"/>
    <x v="1"/>
    <x v="2"/>
    <x v="3"/>
    <x v="4"/>
    <x v="0"/>
    <x v="0"/>
    <x v="1"/>
    <x v="4"/>
    <n v="0"/>
    <n v="0"/>
    <n v="7.7949999999999999"/>
    <n v="7.7949999999999999"/>
    <n v="7.7949999999999999"/>
    <n v="7.7949999999999999"/>
    <n v="20"/>
    <x v="0"/>
    <n v="0"/>
    <n v="0"/>
    <n v="33"/>
    <n v="84"/>
    <n v="0"/>
    <n v="220.84"/>
    <n v="132.96"/>
    <m/>
    <n v="218.17876694576694"/>
    <n v="222.40811297701694"/>
    <n v="0"/>
    <n v="1721.4477999999999"/>
    <n v="1036.4232"/>
    <n v="0"/>
    <n v="1700.7034883422532"/>
    <n v="1733.671240655847"/>
  </r>
  <r>
    <s v="Regular"/>
    <x v="1"/>
    <x v="2"/>
    <x v="3"/>
    <x v="4"/>
    <x v="0"/>
    <x v="0"/>
    <x v="1"/>
    <x v="5"/>
    <n v="0"/>
    <n v="0"/>
    <n v="8.0180000000000007"/>
    <n v="8.0180000000000007"/>
    <n v="8.0180000000000007"/>
    <n v="8.0180000000000007"/>
    <n v="24"/>
    <x v="0"/>
    <n v="0"/>
    <n v="0"/>
    <n v="33"/>
    <n v="84"/>
    <n v="0"/>
    <n v="220.84"/>
    <n v="132.96"/>
    <m/>
    <n v="218.17876694576694"/>
    <n v="222.40811297701694"/>
    <n v="0"/>
    <n v="1770.6951200000001"/>
    <n v="1066.0732800000001"/>
    <n v="0"/>
    <n v="1749.3573533711594"/>
    <n v="1783.268249849722"/>
  </r>
  <r>
    <s v="Regular"/>
    <x v="1"/>
    <x v="2"/>
    <x v="3"/>
    <x v="4"/>
    <x v="0"/>
    <x v="0"/>
    <x v="1"/>
    <x v="6"/>
    <n v="0"/>
    <n v="0"/>
    <n v="8.0980000000000008"/>
    <n v="8.0980000000000008"/>
    <n v="8.0980000000000008"/>
    <n v="8.0980000000000008"/>
    <n v="20"/>
    <x v="0"/>
    <n v="0"/>
    <n v="0"/>
    <n v="33"/>
    <n v="84"/>
    <n v="0"/>
    <n v="220.84"/>
    <n v="132.96"/>
    <m/>
    <n v="218.17876694576694"/>
    <n v="222.40811297701694"/>
    <n v="0"/>
    <n v="1788.3623200000002"/>
    <n v="1076.7100800000001"/>
    <n v="0"/>
    <n v="1766.8116547268207"/>
    <n v="1801.0608988878835"/>
  </r>
  <r>
    <s v="Regular"/>
    <x v="1"/>
    <x v="2"/>
    <x v="3"/>
    <x v="4"/>
    <x v="0"/>
    <x v="0"/>
    <x v="1"/>
    <x v="7"/>
    <n v="0"/>
    <n v="0"/>
    <n v="8.4"/>
    <n v="8.4"/>
    <n v="8.4"/>
    <n v="8.4"/>
    <n v="23"/>
    <x v="0"/>
    <n v="0"/>
    <n v="0"/>
    <n v="33"/>
    <n v="84"/>
    <n v="0"/>
    <n v="220.84"/>
    <n v="132.96"/>
    <m/>
    <n v="218.17876694576694"/>
    <n v="222.40811297701694"/>
    <n v="0"/>
    <n v="1855.056"/>
    <n v="1116.864"/>
    <n v="0"/>
    <n v="1832.7016423444425"/>
    <n v="1868.2281490069424"/>
  </r>
  <r>
    <s v="Regular"/>
    <x v="1"/>
    <x v="2"/>
    <x v="3"/>
    <x v="4"/>
    <x v="0"/>
    <x v="0"/>
    <x v="1"/>
    <x v="8"/>
    <n v="0"/>
    <n v="0"/>
    <n v="8.14"/>
    <n v="8.14"/>
    <n v="8.14"/>
    <n v="8.14"/>
    <n v="35"/>
    <x v="0"/>
    <n v="0"/>
    <n v="0"/>
    <n v="33"/>
    <n v="84"/>
    <n v="0"/>
    <n v="220.84"/>
    <n v="132.96"/>
    <m/>
    <n v="218.17876694576694"/>
    <n v="222.40811297701694"/>
    <n v="0"/>
    <n v="1797.6376000000002"/>
    <n v="1082.2944000000002"/>
    <n v="0"/>
    <n v="1775.975162938543"/>
    <n v="1810.4020396329181"/>
  </r>
  <r>
    <s v="Regular"/>
    <x v="1"/>
    <x v="2"/>
    <x v="3"/>
    <x v="4"/>
    <x v="0"/>
    <x v="0"/>
    <x v="1"/>
    <x v="9"/>
    <n v="0"/>
    <n v="0"/>
    <n v="12.893000000000001"/>
    <n v="12.893000000000001"/>
    <n v="12.893000000000001"/>
    <n v="12.893000000000001"/>
    <n v="119"/>
    <x v="0"/>
    <n v="0"/>
    <n v="0"/>
    <n v="33"/>
    <n v="84"/>
    <n v="0"/>
    <n v="220.84"/>
    <n v="132.96"/>
    <m/>
    <n v="218.17876694576694"/>
    <n v="222.40811297701694"/>
    <n v="0"/>
    <n v="2847.2901200000001"/>
    <n v="1714.2532800000001"/>
    <n v="0"/>
    <n v="2812.9788422317733"/>
    <n v="2867.5078006126796"/>
  </r>
  <r>
    <s v="Refaturamento - Regular"/>
    <x v="1"/>
    <x v="2"/>
    <x v="3"/>
    <x v="4"/>
    <x v="0"/>
    <x v="0"/>
    <x v="1"/>
    <x v="9"/>
    <n v="0"/>
    <n v="0"/>
    <n v="0.14000000000000001"/>
    <n v="0.14000000000000001"/>
    <n v="0.14000000000000001"/>
    <n v="0.14000000000000001"/>
    <n v="0"/>
    <x v="0"/>
    <n v="0"/>
    <n v="0"/>
    <n v="33"/>
    <n v="84"/>
    <n v="0"/>
    <n v="220.84"/>
    <n v="132.96"/>
    <m/>
    <n v="218.17876694576694"/>
    <n v="222.40811297701694"/>
    <n v="0"/>
    <n v="30.917600000000004"/>
    <n v="18.614400000000003"/>
    <n v="0"/>
    <n v="30.545027372407375"/>
    <n v="31.137135816782376"/>
  </r>
  <r>
    <s v="Regular"/>
    <x v="1"/>
    <x v="2"/>
    <x v="3"/>
    <x v="4"/>
    <x v="0"/>
    <x v="0"/>
    <x v="1"/>
    <x v="10"/>
    <n v="0"/>
    <n v="0"/>
    <n v="12.66"/>
    <n v="12.66"/>
    <n v="12.66"/>
    <n v="12.66"/>
    <n v="115"/>
    <x v="0"/>
    <n v="0"/>
    <n v="0"/>
    <n v="33"/>
    <n v="84"/>
    <n v="0"/>
    <n v="220.84"/>
    <n v="132.96"/>
    <m/>
    <n v="218.17876694576694"/>
    <n v="222.40811297701694"/>
    <n v="0"/>
    <n v="2795.8344000000002"/>
    <n v="1683.2736000000002"/>
    <n v="0"/>
    <n v="2762.1431895334094"/>
    <n v="2815.6867102890346"/>
  </r>
  <r>
    <s v="Regular"/>
    <x v="1"/>
    <x v="2"/>
    <x v="3"/>
    <x v="4"/>
    <x v="0"/>
    <x v="0"/>
    <x v="1"/>
    <x v="11"/>
    <n v="0"/>
    <n v="0"/>
    <n v="10.305999999999999"/>
    <n v="10.305999999999999"/>
    <n v="10.305999999999999"/>
    <n v="10.305999999999999"/>
    <n v="74"/>
    <x v="0"/>
    <n v="0"/>
    <n v="0"/>
    <n v="33"/>
    <n v="84"/>
    <n v="0"/>
    <n v="220.84"/>
    <n v="132.96"/>
    <m/>
    <n v="218.17876694576694"/>
    <n v="222.40811297701694"/>
    <n v="0"/>
    <n v="2275.9770399999998"/>
    <n v="1370.28576"/>
    <n v="0"/>
    <n v="2248.5503721430737"/>
    <n v="2292.1380123411363"/>
  </r>
  <r>
    <s v="Regular"/>
    <x v="1"/>
    <x v="2"/>
    <x v="3"/>
    <x v="5"/>
    <x v="0"/>
    <x v="0"/>
    <x v="1"/>
    <x v="0"/>
    <n v="0"/>
    <n v="0"/>
    <n v="7.3079999999999998"/>
    <n v="7.3079999999999998"/>
    <n v="7.3079999999999998"/>
    <n v="7.3079999999999998"/>
    <n v="88"/>
    <x v="0"/>
    <n v="0"/>
    <n v="0"/>
    <n v="43"/>
    <n v="74"/>
    <n v="0"/>
    <n v="331.26"/>
    <n v="199.44"/>
    <m/>
    <n v="327.26815041865041"/>
    <n v="333.61216946552543"/>
    <n v="0"/>
    <n v="2420.8480799999998"/>
    <n v="1457.5075199999999"/>
    <n v="0"/>
    <n v="2391.6756432594971"/>
    <n v="2438.0377344540598"/>
  </r>
  <r>
    <s v="Regular"/>
    <x v="1"/>
    <x v="2"/>
    <x v="3"/>
    <x v="5"/>
    <x v="0"/>
    <x v="0"/>
    <x v="1"/>
    <x v="1"/>
    <n v="0"/>
    <n v="0"/>
    <n v="5.2969999999999997"/>
    <n v="5.2969999999999997"/>
    <n v="5.2969999999999997"/>
    <n v="5.2969999999999997"/>
    <n v="68"/>
    <x v="0"/>
    <n v="0"/>
    <n v="0"/>
    <n v="43"/>
    <n v="74"/>
    <n v="0"/>
    <n v="331.26"/>
    <n v="199.44"/>
    <m/>
    <n v="327.26815041865041"/>
    <n v="333.61216946552543"/>
    <n v="0"/>
    <n v="1754.6842199999999"/>
    <n v="1056.4336799999999"/>
    <n v="0"/>
    <n v="1733.5393927675912"/>
    <n v="1767.143661658888"/>
  </r>
  <r>
    <s v="Refaturamento - Regular"/>
    <x v="1"/>
    <x v="2"/>
    <x v="3"/>
    <x v="5"/>
    <x v="0"/>
    <x v="0"/>
    <x v="1"/>
    <x v="1"/>
    <n v="0"/>
    <n v="0"/>
    <n v="-2.4E-2"/>
    <n v="-2.4E-2"/>
    <n v="-2.4E-2"/>
    <n v="-2.4E-2"/>
    <n v="0"/>
    <x v="0"/>
    <n v="0"/>
    <n v="0"/>
    <n v="43"/>
    <n v="74"/>
    <n v="0"/>
    <n v="331.26"/>
    <n v="199.44"/>
    <m/>
    <n v="327.26815041865041"/>
    <n v="333.61216946552543"/>
    <n v="0"/>
    <n v="-7.95024"/>
    <n v="-4.7865599999999997"/>
    <n v="0"/>
    <n v="-7.8544356100476103"/>
    <n v="-8.0066920671726098"/>
  </r>
  <r>
    <s v="Regular"/>
    <x v="1"/>
    <x v="2"/>
    <x v="3"/>
    <x v="5"/>
    <x v="0"/>
    <x v="0"/>
    <x v="1"/>
    <x v="2"/>
    <n v="0"/>
    <n v="0"/>
    <n v="5.4630000000000001"/>
    <n v="5.4630000000000001"/>
    <n v="5.4630000000000001"/>
    <n v="5.4630000000000001"/>
    <n v="70"/>
    <x v="0"/>
    <n v="0"/>
    <n v="0"/>
    <n v="43"/>
    <n v="74"/>
    <n v="0"/>
    <n v="331.26"/>
    <n v="199.44"/>
    <m/>
    <n v="327.26815041865041"/>
    <n v="333.61216946552543"/>
    <n v="0"/>
    <n v="1809.67338"/>
    <n v="1089.54072"/>
    <n v="0"/>
    <n v="1787.8659057370871"/>
    <n v="1822.5232817901654"/>
  </r>
  <r>
    <s v="Regular"/>
    <x v="1"/>
    <x v="2"/>
    <x v="3"/>
    <x v="5"/>
    <x v="0"/>
    <x v="0"/>
    <x v="1"/>
    <x v="3"/>
    <n v="0"/>
    <n v="0"/>
    <n v="6.6680000000000001"/>
    <n v="6.6680000000000001"/>
    <n v="6.6680000000000001"/>
    <n v="6.6680000000000001"/>
    <n v="73"/>
    <x v="0"/>
    <n v="0"/>
    <n v="0"/>
    <n v="43"/>
    <n v="74"/>
    <n v="0"/>
    <n v="331.26"/>
    <n v="199.44"/>
    <m/>
    <n v="327.26815041865041"/>
    <n v="333.61216946552543"/>
    <n v="0"/>
    <n v="2208.84168"/>
    <n v="1329.86592"/>
    <n v="0"/>
    <n v="2182.224026991561"/>
    <n v="2224.5259459961235"/>
  </r>
  <r>
    <s v="Regular"/>
    <x v="1"/>
    <x v="2"/>
    <x v="3"/>
    <x v="5"/>
    <x v="0"/>
    <x v="0"/>
    <x v="1"/>
    <x v="4"/>
    <n v="0"/>
    <n v="0"/>
    <n v="7.4980000000000002"/>
    <n v="7.4980000000000002"/>
    <n v="7.4980000000000002"/>
    <n v="7.4980000000000002"/>
    <n v="71"/>
    <x v="0"/>
    <n v="0"/>
    <n v="0"/>
    <n v="43"/>
    <n v="74"/>
    <n v="0"/>
    <n v="331.26"/>
    <n v="199.44"/>
    <m/>
    <n v="327.26815041865041"/>
    <n v="333.61216946552543"/>
    <n v="0"/>
    <n v="2483.78748"/>
    <n v="1495.40112"/>
    <n v="0"/>
    <n v="2453.8565918390409"/>
    <n v="2501.4240466525098"/>
  </r>
  <r>
    <s v="Regular"/>
    <x v="1"/>
    <x v="2"/>
    <x v="3"/>
    <x v="5"/>
    <x v="0"/>
    <x v="0"/>
    <x v="1"/>
    <x v="5"/>
    <n v="0"/>
    <n v="0"/>
    <n v="7.2069999999999999"/>
    <n v="7.2069999999999999"/>
    <n v="7.2069999999999999"/>
    <n v="7.2069999999999999"/>
    <n v="74"/>
    <x v="0"/>
    <n v="0"/>
    <n v="0"/>
    <n v="43"/>
    <n v="74"/>
    <n v="0"/>
    <n v="331.26"/>
    <n v="199.44"/>
    <m/>
    <n v="327.26815041865041"/>
    <n v="333.61216946552543"/>
    <n v="0"/>
    <n v="2387.3908200000001"/>
    <n v="1437.3640800000001"/>
    <n v="0"/>
    <n v="2358.6215600672135"/>
    <n v="2404.3429053380419"/>
  </r>
  <r>
    <s v="Regular"/>
    <x v="1"/>
    <x v="2"/>
    <x v="3"/>
    <x v="5"/>
    <x v="0"/>
    <x v="0"/>
    <x v="1"/>
    <x v="6"/>
    <n v="0"/>
    <n v="0"/>
    <n v="7.8490000000000002"/>
    <n v="7.8490000000000002"/>
    <n v="7.8490000000000002"/>
    <n v="7.8490000000000002"/>
    <n v="72"/>
    <x v="0"/>
    <n v="0"/>
    <n v="0"/>
    <n v="43"/>
    <n v="74"/>
    <n v="0"/>
    <n v="331.26"/>
    <n v="199.44"/>
    <m/>
    <n v="327.26815041865041"/>
    <n v="333.61216946552543"/>
    <n v="0"/>
    <n v="2600.0597400000001"/>
    <n v="1565.4045599999999"/>
    <n v="0"/>
    <n v="2568.7277126359872"/>
    <n v="2618.5219181349094"/>
  </r>
  <r>
    <s v="Regular"/>
    <x v="1"/>
    <x v="2"/>
    <x v="3"/>
    <x v="5"/>
    <x v="0"/>
    <x v="0"/>
    <x v="1"/>
    <x v="7"/>
    <n v="0"/>
    <n v="0"/>
    <n v="7.9470000000000001"/>
    <n v="7.9470000000000001"/>
    <n v="7.9470000000000001"/>
    <n v="7.9470000000000001"/>
    <n v="79"/>
    <x v="0"/>
    <n v="0"/>
    <n v="0"/>
    <n v="43"/>
    <n v="74"/>
    <n v="0"/>
    <n v="331.26"/>
    <n v="199.44"/>
    <m/>
    <n v="327.26815041865041"/>
    <n v="333.61216946552543"/>
    <n v="0"/>
    <n v="2632.52322"/>
    <n v="1584.9496799999999"/>
    <n v="0"/>
    <n v="2600.799991377015"/>
    <n v="2651.2159107425305"/>
  </r>
  <r>
    <s v="Regular"/>
    <x v="1"/>
    <x v="2"/>
    <x v="3"/>
    <x v="5"/>
    <x v="0"/>
    <x v="0"/>
    <x v="1"/>
    <x v="8"/>
    <n v="0"/>
    <n v="0"/>
    <n v="6.3929999999999998"/>
    <n v="6.3929999999999998"/>
    <n v="6.3929999999999998"/>
    <n v="6.3929999999999998"/>
    <n v="72"/>
    <x v="0"/>
    <n v="0"/>
    <n v="0"/>
    <n v="43"/>
    <n v="74"/>
    <n v="0"/>
    <n v="331.26"/>
    <n v="199.44"/>
    <m/>
    <n v="327.26815041865041"/>
    <n v="333.61216946552543"/>
    <n v="0"/>
    <n v="2117.7451799999999"/>
    <n v="1275.01992"/>
    <n v="0"/>
    <n v="2092.2252856264322"/>
    <n v="2132.7825993931042"/>
  </r>
  <r>
    <s v="Regular"/>
    <x v="1"/>
    <x v="2"/>
    <x v="3"/>
    <x v="5"/>
    <x v="0"/>
    <x v="0"/>
    <x v="1"/>
    <x v="9"/>
    <n v="0"/>
    <n v="0"/>
    <n v="7.9829999999999997"/>
    <n v="7.9829999999999997"/>
    <n v="7.9829999999999997"/>
    <n v="7.9829999999999997"/>
    <n v="107"/>
    <x v="0"/>
    <n v="0"/>
    <n v="0"/>
    <n v="43"/>
    <n v="74"/>
    <n v="0"/>
    <n v="331.26"/>
    <n v="199.44"/>
    <m/>
    <n v="327.26815041865041"/>
    <n v="333.61216946552543"/>
    <n v="0"/>
    <n v="2644.4485799999998"/>
    <n v="1592.12952"/>
    <n v="0"/>
    <n v="2612.5816447920861"/>
    <n v="2663.2259488432892"/>
  </r>
  <r>
    <s v="Refaturamento - Regular"/>
    <x v="1"/>
    <x v="2"/>
    <x v="3"/>
    <x v="5"/>
    <x v="0"/>
    <x v="0"/>
    <x v="1"/>
    <x v="9"/>
    <n v="0"/>
    <n v="0"/>
    <n v="0.24"/>
    <n v="0.24"/>
    <n v="0.24"/>
    <n v="0.24"/>
    <n v="0"/>
    <x v="0"/>
    <n v="0"/>
    <n v="0"/>
    <n v="43"/>
    <n v="74"/>
    <n v="0"/>
    <n v="331.26"/>
    <n v="199.44"/>
    <m/>
    <n v="327.26815041865041"/>
    <n v="333.61216946552543"/>
    <n v="0"/>
    <n v="79.502399999999994"/>
    <n v="47.865600000000001"/>
    <n v="0"/>
    <n v="78.544356100476094"/>
    <n v="80.066920671726095"/>
  </r>
  <r>
    <s v="Regular"/>
    <x v="1"/>
    <x v="2"/>
    <x v="3"/>
    <x v="5"/>
    <x v="0"/>
    <x v="0"/>
    <x v="1"/>
    <x v="10"/>
    <n v="0"/>
    <n v="0"/>
    <n v="7.3650000000000002"/>
    <n v="7.3650000000000002"/>
    <n v="7.3650000000000002"/>
    <n v="7.3650000000000002"/>
    <n v="111"/>
    <x v="0"/>
    <n v="0"/>
    <n v="0"/>
    <n v="43"/>
    <n v="74"/>
    <n v="0"/>
    <n v="331.26"/>
    <n v="199.44"/>
    <m/>
    <n v="327.26815041865041"/>
    <n v="333.61216946552543"/>
    <n v="0"/>
    <n v="2439.7298999999998"/>
    <n v="1468.8756000000001"/>
    <n v="0"/>
    <n v="2410.3299278333602"/>
    <n v="2457.0536281135946"/>
  </r>
  <r>
    <s v="Regular"/>
    <x v="1"/>
    <x v="2"/>
    <x v="3"/>
    <x v="5"/>
    <x v="0"/>
    <x v="0"/>
    <x v="1"/>
    <x v="11"/>
    <n v="0"/>
    <n v="0"/>
    <n v="7.2119999999999997"/>
    <n v="7.2119999999999997"/>
    <n v="7.2119999999999997"/>
    <n v="7.2119999999999997"/>
    <n v="88"/>
    <x v="0"/>
    <n v="0"/>
    <n v="0"/>
    <n v="43"/>
    <n v="74"/>
    <n v="0"/>
    <n v="331.26"/>
    <n v="199.44"/>
    <m/>
    <n v="327.26815041865041"/>
    <n v="333.61216946552543"/>
    <n v="0"/>
    <n v="2389.0471199999997"/>
    <n v="1438.3612799999999"/>
    <n v="0"/>
    <n v="2360.2579008193065"/>
    <n v="2406.0109661853694"/>
  </r>
  <r>
    <s v="Regular"/>
    <x v="1"/>
    <x v="2"/>
    <x v="3"/>
    <x v="6"/>
    <x v="0"/>
    <x v="0"/>
    <x v="1"/>
    <x v="0"/>
    <n v="0"/>
    <n v="0"/>
    <n v="0.19500000000000001"/>
    <n v="0.19500000000000001"/>
    <n v="0.19500000000000001"/>
    <n v="0.19500000000000001"/>
    <n v="3"/>
    <x v="0"/>
    <n v="0"/>
    <n v="0"/>
    <n v="48"/>
    <n v="71"/>
    <n v="0"/>
    <n v="368.07"/>
    <n v="221.6"/>
    <m/>
    <n v="363.63127824294492"/>
    <n v="370.68018829502824"/>
    <n v="0"/>
    <n v="71.773650000000004"/>
    <n v="43.212000000000003"/>
    <n v="0"/>
    <n v="70.908099257374261"/>
    <n v="72.282636717530508"/>
  </r>
  <r>
    <s v="Regular"/>
    <x v="1"/>
    <x v="2"/>
    <x v="3"/>
    <x v="6"/>
    <x v="0"/>
    <x v="0"/>
    <x v="1"/>
    <x v="1"/>
    <n v="0"/>
    <n v="0"/>
    <n v="1.1439999999999999"/>
    <n v="1.1439999999999999"/>
    <n v="1.1439999999999999"/>
    <n v="1.1439999999999999"/>
    <n v="14"/>
    <x v="0"/>
    <n v="0"/>
    <n v="0"/>
    <n v="48"/>
    <n v="71"/>
    <n v="0"/>
    <n v="368.07"/>
    <n v="221.6"/>
    <m/>
    <n v="363.63127824294492"/>
    <n v="370.68018829502824"/>
    <n v="0"/>
    <n v="421.07207999999997"/>
    <n v="253.51039999999998"/>
    <n v="0"/>
    <n v="415.99418230992893"/>
    <n v="424.05813540951226"/>
  </r>
  <r>
    <s v="Refaturamento - Regular"/>
    <x v="1"/>
    <x v="2"/>
    <x v="3"/>
    <x v="6"/>
    <x v="0"/>
    <x v="0"/>
    <x v="1"/>
    <x v="1"/>
    <n v="0"/>
    <n v="0"/>
    <n v="-0.23"/>
    <n v="-0.23"/>
    <n v="-0.23"/>
    <n v="-0.23"/>
    <n v="0"/>
    <x v="0"/>
    <n v="0"/>
    <n v="0"/>
    <n v="48"/>
    <n v="71"/>
    <n v="0"/>
    <n v="368.07"/>
    <n v="221.6"/>
    <m/>
    <n v="363.63127824294492"/>
    <n v="370.68018829502824"/>
    <n v="0"/>
    <n v="-84.656099999999995"/>
    <n v="-50.968000000000004"/>
    <n v="0"/>
    <n v="-83.63519399587733"/>
    <n v="-85.2564433078565"/>
  </r>
  <r>
    <s v="Regular"/>
    <x v="1"/>
    <x v="2"/>
    <x v="3"/>
    <x v="6"/>
    <x v="0"/>
    <x v="0"/>
    <x v="1"/>
    <x v="2"/>
    <n v="0"/>
    <n v="0"/>
    <n v="1.03"/>
    <n v="1.03"/>
    <n v="1.03"/>
    <n v="1.03"/>
    <n v="18"/>
    <x v="0"/>
    <n v="0"/>
    <n v="0"/>
    <n v="48"/>
    <n v="71"/>
    <n v="0"/>
    <n v="368.07"/>
    <n v="221.6"/>
    <m/>
    <n v="363.63127824294492"/>
    <n v="370.68018829502824"/>
    <n v="0"/>
    <n v="379.1121"/>
    <n v="228.24799999999999"/>
    <n v="0"/>
    <n v="374.54021659023329"/>
    <n v="381.80059394387911"/>
  </r>
  <r>
    <s v="Regular"/>
    <x v="1"/>
    <x v="2"/>
    <x v="3"/>
    <x v="6"/>
    <x v="0"/>
    <x v="0"/>
    <x v="1"/>
    <x v="3"/>
    <n v="0"/>
    <n v="0"/>
    <n v="1.5940000000000001"/>
    <n v="1.5940000000000001"/>
    <n v="1.5940000000000001"/>
    <n v="1.5940000000000001"/>
    <n v="22"/>
    <x v="0"/>
    <n v="0"/>
    <n v="0"/>
    <n v="48"/>
    <n v="71"/>
    <n v="0"/>
    <n v="368.07"/>
    <n v="221.6"/>
    <m/>
    <n v="363.63127824294492"/>
    <n v="370.68018829502824"/>
    <n v="0"/>
    <n v="586.70357999999999"/>
    <n v="353.23040000000003"/>
    <n v="0"/>
    <n v="579.62825751925425"/>
    <n v="590.86422014227503"/>
  </r>
  <r>
    <s v="Regular"/>
    <x v="1"/>
    <x v="2"/>
    <x v="3"/>
    <x v="6"/>
    <x v="0"/>
    <x v="0"/>
    <x v="1"/>
    <x v="4"/>
    <n v="0"/>
    <n v="0"/>
    <n v="2.44"/>
    <n v="2.44"/>
    <n v="2.44"/>
    <n v="2.44"/>
    <n v="29"/>
    <x v="0"/>
    <n v="0"/>
    <n v="0"/>
    <n v="48"/>
    <n v="71"/>
    <n v="0"/>
    <n v="368.07"/>
    <n v="221.6"/>
    <m/>
    <n v="363.63127824294492"/>
    <n v="370.68018829502824"/>
    <n v="0"/>
    <n v="898.09079999999994"/>
    <n v="540.70399999999995"/>
    <n v="0"/>
    <n v="887.26031891278558"/>
    <n v="904.45965943986891"/>
  </r>
  <r>
    <s v="Regular"/>
    <x v="1"/>
    <x v="2"/>
    <x v="3"/>
    <x v="6"/>
    <x v="0"/>
    <x v="0"/>
    <x v="1"/>
    <x v="5"/>
    <n v="0"/>
    <n v="0"/>
    <n v="2.125"/>
    <n v="2.125"/>
    <n v="2.125"/>
    <n v="2.125"/>
    <n v="26"/>
    <x v="0"/>
    <n v="0"/>
    <n v="0"/>
    <n v="48"/>
    <n v="71"/>
    <n v="0"/>
    <n v="368.07"/>
    <n v="221.6"/>
    <m/>
    <n v="363.63127824294492"/>
    <n v="370.68018829502824"/>
    <n v="0"/>
    <n v="782.14874999999995"/>
    <n v="470.9"/>
    <n v="0"/>
    <n v="772.71646626625795"/>
    <n v="787.69540012693506"/>
  </r>
  <r>
    <s v="Regular"/>
    <x v="1"/>
    <x v="2"/>
    <x v="3"/>
    <x v="6"/>
    <x v="0"/>
    <x v="0"/>
    <x v="1"/>
    <x v="6"/>
    <n v="0"/>
    <n v="0"/>
    <n v="2.6110000000000002"/>
    <n v="2.6110000000000002"/>
    <n v="2.6110000000000002"/>
    <n v="2.6110000000000002"/>
    <n v="32"/>
    <x v="0"/>
    <n v="0"/>
    <n v="0"/>
    <n v="48"/>
    <n v="71"/>
    <n v="0"/>
    <n v="368.07"/>
    <n v="221.6"/>
    <m/>
    <n v="363.63127824294492"/>
    <n v="370.68018829502824"/>
    <n v="0"/>
    <n v="961.03077000000008"/>
    <n v="578.59760000000006"/>
    <n v="0"/>
    <n v="949.4412674923293"/>
    <n v="967.84597163831882"/>
  </r>
  <r>
    <s v="Regular"/>
    <x v="1"/>
    <x v="2"/>
    <x v="3"/>
    <x v="6"/>
    <x v="0"/>
    <x v="0"/>
    <x v="1"/>
    <x v="7"/>
    <n v="0"/>
    <n v="0"/>
    <n v="2.0590000000000002"/>
    <n v="2.0590000000000002"/>
    <n v="2.0590000000000002"/>
    <n v="2.0590000000000002"/>
    <n v="26"/>
    <x v="0"/>
    <n v="0"/>
    <n v="0"/>
    <n v="48"/>
    <n v="71"/>
    <n v="0"/>
    <n v="368.07"/>
    <n v="221.6"/>
    <m/>
    <n v="363.63127824294492"/>
    <n v="370.68018829502824"/>
    <n v="0"/>
    <n v="757.85613000000001"/>
    <n v="456.27440000000001"/>
    <n v="0"/>
    <n v="748.71680190222366"/>
    <n v="763.23050769946326"/>
  </r>
  <r>
    <s v="Regular"/>
    <x v="1"/>
    <x v="2"/>
    <x v="3"/>
    <x v="6"/>
    <x v="0"/>
    <x v="0"/>
    <x v="1"/>
    <x v="8"/>
    <n v="0"/>
    <n v="0"/>
    <n v="1.4379999999999999"/>
    <n v="1.4379999999999999"/>
    <n v="1.4379999999999999"/>
    <n v="1.4379999999999999"/>
    <n v="24"/>
    <x v="0"/>
    <n v="0"/>
    <n v="0"/>
    <n v="48"/>
    <n v="71"/>
    <n v="0"/>
    <n v="368.07"/>
    <n v="221.6"/>
    <m/>
    <n v="363.63127824294492"/>
    <n v="370.68018829502824"/>
    <n v="0"/>
    <n v="529.28465999999992"/>
    <n v="318.66079999999999"/>
    <n v="0"/>
    <n v="522.90177811335479"/>
    <n v="533.03811076825059"/>
  </r>
  <r>
    <s v="Regular"/>
    <x v="1"/>
    <x v="2"/>
    <x v="3"/>
    <x v="6"/>
    <x v="0"/>
    <x v="0"/>
    <x v="1"/>
    <x v="9"/>
    <n v="0"/>
    <n v="0"/>
    <n v="1.7869999999999999"/>
    <n v="1.7869999999999999"/>
    <n v="1.7869999999999999"/>
    <n v="1.7869999999999999"/>
    <n v="19"/>
    <x v="0"/>
    <n v="0"/>
    <n v="0"/>
    <n v="48"/>
    <n v="71"/>
    <n v="0"/>
    <n v="368.07"/>
    <n v="221.6"/>
    <m/>
    <n v="363.63127824294492"/>
    <n v="370.68018829502824"/>
    <n v="0"/>
    <n v="657.74108999999999"/>
    <n v="395.99919999999997"/>
    <n v="0"/>
    <n v="649.80909422014258"/>
    <n v="662.40549648321542"/>
  </r>
  <r>
    <s v="Refaturamento - Regular"/>
    <x v="1"/>
    <x v="2"/>
    <x v="3"/>
    <x v="6"/>
    <x v="0"/>
    <x v="0"/>
    <x v="1"/>
    <x v="9"/>
    <n v="0"/>
    <n v="0"/>
    <n v="0.436"/>
    <n v="0.436"/>
    <n v="0.436"/>
    <n v="0.436"/>
    <n v="0"/>
    <x v="0"/>
    <n v="0"/>
    <n v="0"/>
    <n v="48"/>
    <n v="71"/>
    <n v="0"/>
    <n v="368.07"/>
    <n v="221.6"/>
    <m/>
    <n v="363.63127824294492"/>
    <n v="370.68018829502824"/>
    <n v="0"/>
    <n v="160.47852"/>
    <n v="96.617599999999996"/>
    <n v="0"/>
    <n v="158.54323731392398"/>
    <n v="161.61656209663232"/>
  </r>
  <r>
    <s v="Regular"/>
    <x v="1"/>
    <x v="2"/>
    <x v="3"/>
    <x v="6"/>
    <x v="0"/>
    <x v="0"/>
    <x v="1"/>
    <x v="10"/>
    <n v="0"/>
    <n v="0"/>
    <n v="1.2589999999999999"/>
    <n v="1.2589999999999999"/>
    <n v="1.2589999999999999"/>
    <n v="1.2589999999999999"/>
    <n v="16"/>
    <x v="0"/>
    <n v="0"/>
    <n v="0"/>
    <n v="48"/>
    <n v="71"/>
    <n v="0"/>
    <n v="368.07"/>
    <n v="221.6"/>
    <m/>
    <n v="363.63127824294492"/>
    <n v="370.68018829502824"/>
    <n v="0"/>
    <n v="463.40012999999993"/>
    <n v="278.99439999999998"/>
    <n v="0"/>
    <n v="457.8117793078676"/>
    <n v="466.68635706344054"/>
  </r>
  <r>
    <s v="Regular"/>
    <x v="1"/>
    <x v="2"/>
    <x v="3"/>
    <x v="6"/>
    <x v="0"/>
    <x v="0"/>
    <x v="1"/>
    <x v="11"/>
    <n v="0"/>
    <n v="0"/>
    <n v="1.1619999999999999"/>
    <n v="1.1619999999999999"/>
    <n v="1.1619999999999999"/>
    <n v="1.1619999999999999"/>
    <n v="20"/>
    <x v="0"/>
    <n v="0"/>
    <n v="0"/>
    <n v="48"/>
    <n v="71"/>
    <n v="0"/>
    <n v="368.07"/>
    <n v="221.6"/>
    <m/>
    <n v="363.63127824294492"/>
    <n v="370.68018829502824"/>
    <n v="0"/>
    <n v="427.69733999999994"/>
    <n v="257.49919999999997"/>
    <n v="0"/>
    <n v="422.53954531830198"/>
    <n v="430.73037879882281"/>
  </r>
  <r>
    <s v="Regular"/>
    <x v="2"/>
    <x v="2"/>
    <x v="4"/>
    <x v="0"/>
    <x v="0"/>
    <x v="0"/>
    <x v="1"/>
    <x v="0"/>
    <n v="0"/>
    <n v="0"/>
    <n v="108.533"/>
    <n v="108.533"/>
    <n v="108.533"/>
    <n v="108.533"/>
    <n v="329"/>
    <x v="0"/>
    <n v="0"/>
    <n v="0"/>
    <n v="39"/>
    <n v="10"/>
    <n v="0"/>
    <n v="406.8"/>
    <n v="195"/>
    <m/>
    <n v="467.11598296296341"/>
    <n v="348.43937699732652"/>
    <n v="0"/>
    <n v="44151.224399999999"/>
    <n v="21163.935000000001"/>
    <n v="0"/>
    <n v="50697.498978919306"/>
    <n v="37817.17090365084"/>
  </r>
  <r>
    <s v="Sistema de Compensação"/>
    <x v="2"/>
    <x v="2"/>
    <x v="4"/>
    <x v="0"/>
    <x v="0"/>
    <x v="0"/>
    <x v="1"/>
    <x v="0"/>
    <n v="0"/>
    <n v="0"/>
    <n v="0.42399999999999999"/>
    <n v="0.42399999999999999"/>
    <n v="0.42399999999999999"/>
    <n v="0.42399999999999999"/>
    <n v="3"/>
    <x v="0"/>
    <n v="0"/>
    <n v="0"/>
    <n v="39"/>
    <n v="10"/>
    <n v="0"/>
    <n v="406.8"/>
    <n v="195"/>
    <m/>
    <n v="467.11598296296341"/>
    <n v="348.43937699732652"/>
    <n v="0"/>
    <n v="172.48320000000001"/>
    <n v="82.679999999999993"/>
    <n v="0"/>
    <n v="198.05717677629647"/>
    <n v="147.73829584686644"/>
  </r>
  <r>
    <s v="Regular"/>
    <x v="2"/>
    <x v="2"/>
    <x v="4"/>
    <x v="0"/>
    <x v="0"/>
    <x v="0"/>
    <x v="1"/>
    <x v="1"/>
    <n v="0"/>
    <n v="0"/>
    <n v="105.29"/>
    <n v="105.29"/>
    <n v="105.29"/>
    <n v="105.29"/>
    <n v="334"/>
    <x v="0"/>
    <n v="0"/>
    <n v="0"/>
    <n v="39"/>
    <n v="10"/>
    <n v="0"/>
    <n v="406.8"/>
    <n v="195"/>
    <m/>
    <n v="467.11598296296341"/>
    <n v="348.43937699732652"/>
    <n v="0"/>
    <n v="42831.972000000002"/>
    <n v="20531.550000000003"/>
    <n v="0"/>
    <n v="49182.641846170423"/>
    <n v="36687.182004048511"/>
  </r>
  <r>
    <s v="Refaturamento - Regular"/>
    <x v="2"/>
    <x v="2"/>
    <x v="4"/>
    <x v="0"/>
    <x v="0"/>
    <x v="0"/>
    <x v="1"/>
    <x v="1"/>
    <n v="0"/>
    <n v="0"/>
    <n v="-0.44600000000000001"/>
    <n v="-0.44600000000000001"/>
    <n v="-0.44600000000000001"/>
    <n v="-0.44600000000000001"/>
    <n v="0"/>
    <x v="0"/>
    <n v="0"/>
    <n v="0"/>
    <n v="39"/>
    <n v="10"/>
    <n v="0"/>
    <n v="406.8"/>
    <n v="195"/>
    <m/>
    <n v="467.11598296296341"/>
    <n v="348.43937699732652"/>
    <n v="0"/>
    <n v="-181.43280000000001"/>
    <n v="-86.97"/>
    <n v="0"/>
    <n v="-208.33372840148169"/>
    <n v="-155.40396214080764"/>
  </r>
  <r>
    <s v="Sistema de Compensação"/>
    <x v="2"/>
    <x v="2"/>
    <x v="4"/>
    <x v="0"/>
    <x v="0"/>
    <x v="0"/>
    <x v="1"/>
    <x v="1"/>
    <n v="0"/>
    <n v="0"/>
    <n v="1.4690000000000001"/>
    <n v="1.4690000000000001"/>
    <n v="1.4690000000000001"/>
    <n v="1.4690000000000001"/>
    <n v="3"/>
    <x v="0"/>
    <n v="0"/>
    <n v="0"/>
    <n v="39"/>
    <n v="10"/>
    <n v="0"/>
    <n v="406.8"/>
    <n v="195"/>
    <m/>
    <n v="467.11598296296341"/>
    <n v="348.43937699732652"/>
    <n v="0"/>
    <n v="597.58920000000001"/>
    <n v="286.45500000000004"/>
    <n v="0"/>
    <n v="686.19337897259334"/>
    <n v="511.85744480907266"/>
  </r>
  <r>
    <s v="Regular"/>
    <x v="2"/>
    <x v="2"/>
    <x v="4"/>
    <x v="0"/>
    <x v="0"/>
    <x v="0"/>
    <x v="1"/>
    <x v="2"/>
    <n v="0"/>
    <n v="0"/>
    <n v="111.015"/>
    <n v="111.015"/>
    <n v="111.015"/>
    <n v="111.015"/>
    <n v="331"/>
    <x v="0"/>
    <n v="0"/>
    <n v="0"/>
    <n v="39"/>
    <n v="10"/>
    <n v="0"/>
    <n v="406.8"/>
    <n v="195"/>
    <m/>
    <n v="467.11598296296341"/>
    <n v="348.43937699732652"/>
    <n v="0"/>
    <n v="45160.902000000002"/>
    <n v="21647.924999999999"/>
    <n v="0"/>
    <n v="51856.880848633387"/>
    <n v="38681.997437358201"/>
  </r>
  <r>
    <s v="Sistema de Compensação"/>
    <x v="2"/>
    <x v="2"/>
    <x v="4"/>
    <x v="0"/>
    <x v="0"/>
    <x v="0"/>
    <x v="1"/>
    <x v="2"/>
    <n v="0"/>
    <n v="0"/>
    <n v="0.28299999999999997"/>
    <n v="0.28299999999999997"/>
    <n v="0.28299999999999997"/>
    <n v="0.28299999999999997"/>
    <n v="3"/>
    <x v="0"/>
    <n v="0"/>
    <n v="0"/>
    <n v="39"/>
    <n v="10"/>
    <n v="0"/>
    <n v="406.8"/>
    <n v="195"/>
    <m/>
    <n v="467.11598296296341"/>
    <n v="348.43937699732652"/>
    <n v="0"/>
    <n v="115.12439999999999"/>
    <n v="55.184999999999995"/>
    <n v="0"/>
    <n v="132.19382317851864"/>
    <n v="98.608343690243402"/>
  </r>
  <r>
    <s v="Regular"/>
    <x v="2"/>
    <x v="2"/>
    <x v="4"/>
    <x v="0"/>
    <x v="0"/>
    <x v="0"/>
    <x v="1"/>
    <x v="3"/>
    <n v="0"/>
    <n v="0"/>
    <n v="115.242"/>
    <n v="115.242"/>
    <n v="115.242"/>
    <n v="115.242"/>
    <n v="333"/>
    <x v="0"/>
    <n v="0"/>
    <n v="0"/>
    <n v="39"/>
    <n v="10"/>
    <n v="0"/>
    <n v="406.8"/>
    <n v="195"/>
    <m/>
    <n v="467.11598296296341"/>
    <n v="348.43937699732652"/>
    <n v="0"/>
    <n v="46880.445600000006"/>
    <n v="22472.190000000002"/>
    <n v="0"/>
    <n v="53831.380108617836"/>
    <n v="40154.850683925906"/>
  </r>
  <r>
    <s v="Sistema de Compensação"/>
    <x v="2"/>
    <x v="2"/>
    <x v="4"/>
    <x v="0"/>
    <x v="0"/>
    <x v="0"/>
    <x v="1"/>
    <x v="3"/>
    <n v="0"/>
    <n v="0"/>
    <n v="1.2270000000000001"/>
    <n v="1.2270000000000001"/>
    <n v="1.2270000000000001"/>
    <n v="1.2270000000000001"/>
    <n v="3"/>
    <x v="0"/>
    <n v="0"/>
    <n v="0"/>
    <n v="39"/>
    <n v="10"/>
    <n v="0"/>
    <n v="406.8"/>
    <n v="195"/>
    <m/>
    <n v="467.11598296296341"/>
    <n v="348.43937699732652"/>
    <n v="0"/>
    <n v="499.14360000000005"/>
    <n v="239.26500000000001"/>
    <n v="0"/>
    <n v="573.15131109555614"/>
    <n v="427.53511557571966"/>
  </r>
  <r>
    <s v="Regular"/>
    <x v="2"/>
    <x v="2"/>
    <x v="4"/>
    <x v="0"/>
    <x v="0"/>
    <x v="0"/>
    <x v="1"/>
    <x v="4"/>
    <n v="0"/>
    <n v="0"/>
    <n v="132.32300000000001"/>
    <n v="132.32300000000001"/>
    <n v="132.32300000000001"/>
    <n v="132.32300000000001"/>
    <n v="334"/>
    <x v="0"/>
    <n v="0"/>
    <n v="0"/>
    <n v="39"/>
    <n v="10"/>
    <n v="0"/>
    <n v="406.8"/>
    <n v="195"/>
    <m/>
    <n v="467.11598296296341"/>
    <n v="348.43937699732652"/>
    <n v="0"/>
    <n v="53828.996400000004"/>
    <n v="25802.985000000001"/>
    <n v="0"/>
    <n v="61810.188213608213"/>
    <n v="46106.543682417243"/>
  </r>
  <r>
    <s v="Sistema de Compensação"/>
    <x v="2"/>
    <x v="2"/>
    <x v="4"/>
    <x v="0"/>
    <x v="0"/>
    <x v="0"/>
    <x v="1"/>
    <x v="4"/>
    <n v="0"/>
    <n v="0"/>
    <n v="3.0249999999999999"/>
    <n v="3.0249999999999999"/>
    <n v="3.0249999999999999"/>
    <n v="3.0249999999999999"/>
    <n v="5"/>
    <x v="0"/>
    <n v="0"/>
    <n v="0"/>
    <n v="39"/>
    <n v="10"/>
    <n v="0"/>
    <n v="406.8"/>
    <n v="195"/>
    <m/>
    <n v="467.11598296296341"/>
    <n v="348.43937699732652"/>
    <n v="0"/>
    <n v="1230.57"/>
    <n v="589.875"/>
    <n v="0"/>
    <n v="1413.0258484629642"/>
    <n v="1054.0291154169126"/>
  </r>
  <r>
    <s v="Regular"/>
    <x v="2"/>
    <x v="2"/>
    <x v="4"/>
    <x v="0"/>
    <x v="0"/>
    <x v="0"/>
    <x v="1"/>
    <x v="5"/>
    <n v="0"/>
    <n v="0"/>
    <n v="128.40199999999999"/>
    <n v="128.40199999999999"/>
    <n v="128.40199999999999"/>
    <n v="128.40199999999999"/>
    <n v="331"/>
    <x v="0"/>
    <n v="0"/>
    <n v="0"/>
    <n v="39"/>
    <n v="10"/>
    <n v="0"/>
    <n v="406.8"/>
    <n v="195"/>
    <m/>
    <n v="467.11598296296341"/>
    <n v="348.43937699732652"/>
    <n v="0"/>
    <n v="52233.933599999997"/>
    <n v="25038.389999999996"/>
    <n v="0"/>
    <n v="59978.626444410424"/>
    <n v="44740.312885210718"/>
  </r>
  <r>
    <s v="Sistema de Compensação"/>
    <x v="2"/>
    <x v="2"/>
    <x v="4"/>
    <x v="0"/>
    <x v="0"/>
    <x v="0"/>
    <x v="1"/>
    <x v="5"/>
    <n v="0"/>
    <n v="0"/>
    <n v="1.198"/>
    <n v="1.198"/>
    <n v="1.198"/>
    <n v="1.198"/>
    <n v="4"/>
    <x v="0"/>
    <n v="0"/>
    <n v="0"/>
    <n v="39"/>
    <n v="10"/>
    <n v="0"/>
    <n v="406.8"/>
    <n v="195"/>
    <m/>
    <n v="467.11598296296341"/>
    <n v="348.43937699732652"/>
    <n v="0"/>
    <n v="487.34640000000002"/>
    <n v="233.60999999999999"/>
    <n v="0"/>
    <n v="559.60494758963011"/>
    <n v="417.43037364279718"/>
  </r>
  <r>
    <s v="Sistema de Compensação"/>
    <x v="2"/>
    <x v="2"/>
    <x v="4"/>
    <x v="0"/>
    <x v="0"/>
    <x v="0"/>
    <x v="1"/>
    <x v="5"/>
    <n v="0"/>
    <n v="0"/>
    <n v="-0.82199999999999995"/>
    <n v="-0.82199999999999995"/>
    <n v="-0.82199999999999995"/>
    <n v="-0.82199999999999995"/>
    <n v="2"/>
    <x v="0"/>
    <n v="0"/>
    <n v="0"/>
    <n v="39"/>
    <n v="10"/>
    <n v="0"/>
    <n v="406.8"/>
    <n v="195"/>
    <m/>
    <n v="467.11598296296341"/>
    <n v="348.43937699732652"/>
    <n v="0"/>
    <n v="-334.38959999999997"/>
    <n v="-160.29"/>
    <n v="0"/>
    <n v="-383.96933799555592"/>
    <n v="-286.41716789180236"/>
  </r>
  <r>
    <s v="Regular"/>
    <x v="2"/>
    <x v="2"/>
    <x v="4"/>
    <x v="0"/>
    <x v="0"/>
    <x v="0"/>
    <x v="1"/>
    <x v="6"/>
    <n v="0"/>
    <n v="0"/>
    <n v="132.58600000000001"/>
    <n v="132.58600000000001"/>
    <n v="132.58600000000001"/>
    <n v="132.58600000000001"/>
    <n v="332"/>
    <x v="0"/>
    <n v="0"/>
    <n v="0"/>
    <n v="39"/>
    <n v="10"/>
    <n v="0"/>
    <n v="406.8"/>
    <n v="195"/>
    <m/>
    <n v="467.11598296296341"/>
    <n v="348.43937699732652"/>
    <n v="0"/>
    <n v="53935.984800000006"/>
    <n v="25854.270000000004"/>
    <n v="0"/>
    <n v="61933.039717127474"/>
    <n v="46198.183238567537"/>
  </r>
  <r>
    <s v="Regular"/>
    <x v="2"/>
    <x v="2"/>
    <x v="4"/>
    <x v="0"/>
    <x v="0"/>
    <x v="0"/>
    <x v="1"/>
    <x v="7"/>
    <n v="0"/>
    <n v="0"/>
    <n v="122.051"/>
    <n v="122.051"/>
    <n v="122.051"/>
    <n v="122.051"/>
    <n v="327"/>
    <x v="0"/>
    <n v="0"/>
    <n v="0"/>
    <n v="39"/>
    <n v="10"/>
    <n v="0"/>
    <n v="406.8"/>
    <n v="195"/>
    <m/>
    <n v="467.11598296296341"/>
    <n v="348.43937699732652"/>
    <n v="0"/>
    <n v="49650.346799999999"/>
    <n v="23799.945"/>
    <n v="0"/>
    <n v="57011.972836612651"/>
    <n v="42527.374401900699"/>
  </r>
  <r>
    <s v="Sistema de Compensação"/>
    <x v="2"/>
    <x v="2"/>
    <x v="4"/>
    <x v="0"/>
    <x v="0"/>
    <x v="0"/>
    <x v="1"/>
    <x v="7"/>
    <n v="0"/>
    <n v="0"/>
    <n v="3.11"/>
    <n v="3.11"/>
    <n v="3.11"/>
    <n v="3.11"/>
    <n v="6"/>
    <x v="0"/>
    <n v="0"/>
    <n v="0"/>
    <n v="39"/>
    <n v="10"/>
    <n v="0"/>
    <n v="406.8"/>
    <n v="195"/>
    <m/>
    <n v="467.11598296296341"/>
    <n v="348.43937699732652"/>
    <n v="0"/>
    <n v="1265.1479999999999"/>
    <n v="606.44999999999993"/>
    <n v="0"/>
    <n v="1452.7307070148161"/>
    <n v="1083.6464624616854"/>
  </r>
  <r>
    <s v="Regular"/>
    <x v="2"/>
    <x v="2"/>
    <x v="4"/>
    <x v="0"/>
    <x v="0"/>
    <x v="0"/>
    <x v="1"/>
    <x v="8"/>
    <n v="0"/>
    <n v="0"/>
    <n v="112.93300000000001"/>
    <n v="112.93300000000001"/>
    <n v="112.93300000000001"/>
    <n v="112.93300000000001"/>
    <n v="330"/>
    <x v="0"/>
    <n v="0"/>
    <n v="0"/>
    <n v="39"/>
    <n v="10"/>
    <n v="0"/>
    <n v="406.8"/>
    <n v="195"/>
    <m/>
    <n v="467.11598296296341"/>
    <n v="348.43937699732652"/>
    <n v="0"/>
    <n v="45941.144400000005"/>
    <n v="22021.935000000001"/>
    <n v="0"/>
    <n v="52752.809303956354"/>
    <n v="39350.304162439075"/>
  </r>
  <r>
    <s v="Refaturamento - Regular"/>
    <x v="2"/>
    <x v="2"/>
    <x v="4"/>
    <x v="0"/>
    <x v="0"/>
    <x v="0"/>
    <x v="1"/>
    <x v="8"/>
    <n v="0"/>
    <n v="0"/>
    <n v="2.222"/>
    <n v="2.222"/>
    <n v="2.222"/>
    <n v="2.222"/>
    <n v="0"/>
    <x v="0"/>
    <n v="0"/>
    <n v="0"/>
    <n v="39"/>
    <n v="10"/>
    <n v="0"/>
    <n v="406.8"/>
    <n v="195"/>
    <m/>
    <n v="467.11598296296341"/>
    <n v="348.43937699732652"/>
    <n v="0"/>
    <n v="903.90960000000007"/>
    <n v="433.29"/>
    <n v="0"/>
    <n v="1037.9317141437048"/>
    <n v="774.23229568805948"/>
  </r>
  <r>
    <s v="Sistema de Compensação"/>
    <x v="2"/>
    <x v="2"/>
    <x v="4"/>
    <x v="0"/>
    <x v="0"/>
    <x v="0"/>
    <x v="1"/>
    <x v="8"/>
    <n v="0"/>
    <n v="0"/>
    <n v="2.544"/>
    <n v="2.544"/>
    <n v="2.544"/>
    <n v="2.544"/>
    <n v="6"/>
    <x v="0"/>
    <n v="0"/>
    <n v="0"/>
    <n v="39"/>
    <n v="10"/>
    <n v="0"/>
    <n v="406.8"/>
    <n v="195"/>
    <m/>
    <n v="467.11598296296341"/>
    <n v="348.43937699732652"/>
    <n v="0"/>
    <n v="1034.8992000000001"/>
    <n v="496.08"/>
    <n v="0"/>
    <n v="1188.343060657779"/>
    <n v="886.42977508119873"/>
  </r>
  <r>
    <s v="Regular"/>
    <x v="2"/>
    <x v="2"/>
    <x v="4"/>
    <x v="0"/>
    <x v="0"/>
    <x v="0"/>
    <x v="1"/>
    <x v="9"/>
    <n v="0"/>
    <n v="0"/>
    <n v="94.849000000000004"/>
    <n v="94.849000000000004"/>
    <n v="94.849000000000004"/>
    <n v="94.849000000000004"/>
    <n v="325"/>
    <x v="0"/>
    <n v="0"/>
    <n v="0"/>
    <n v="39"/>
    <n v="10"/>
    <n v="0"/>
    <n v="406.8"/>
    <n v="195"/>
    <m/>
    <n v="467.11598296296341"/>
    <n v="348.43937699732652"/>
    <n v="0"/>
    <n v="38584.573200000006"/>
    <n v="18495.555"/>
    <n v="0"/>
    <n v="44305.483868054122"/>
    <n v="33049.126468819428"/>
  </r>
  <r>
    <s v="Refaturamento - Regular"/>
    <x v="2"/>
    <x v="2"/>
    <x v="4"/>
    <x v="0"/>
    <x v="0"/>
    <x v="0"/>
    <x v="1"/>
    <x v="9"/>
    <n v="0"/>
    <n v="0"/>
    <n v="-0.58599999999999997"/>
    <n v="-0.58599999999999997"/>
    <n v="-0.58599999999999997"/>
    <n v="-0.58599999999999997"/>
    <n v="0"/>
    <x v="0"/>
    <n v="0"/>
    <n v="0"/>
    <n v="39"/>
    <n v="10"/>
    <n v="0"/>
    <n v="406.8"/>
    <n v="195"/>
    <m/>
    <n v="467.11598296296341"/>
    <n v="348.43937699732652"/>
    <n v="0"/>
    <n v="-238.38479999999998"/>
    <n v="-114.27"/>
    <n v="0"/>
    <n v="-273.72996601629654"/>
    <n v="-204.18547492043334"/>
  </r>
  <r>
    <s v="Sistema de Compensação"/>
    <x v="2"/>
    <x v="2"/>
    <x v="4"/>
    <x v="0"/>
    <x v="0"/>
    <x v="0"/>
    <x v="1"/>
    <x v="9"/>
    <n v="0"/>
    <n v="0"/>
    <n v="1.64"/>
    <n v="1.64"/>
    <n v="1.64"/>
    <n v="1.64"/>
    <n v="5"/>
    <x v="0"/>
    <n v="0"/>
    <n v="0"/>
    <n v="39"/>
    <n v="10"/>
    <n v="0"/>
    <n v="406.8"/>
    <n v="195"/>
    <m/>
    <n v="467.11598296296341"/>
    <n v="348.43937699732652"/>
    <n v="0"/>
    <n v="667.15199999999993"/>
    <n v="319.79999999999995"/>
    <n v="0"/>
    <n v="766.07021205925992"/>
    <n v="571.44057827561551"/>
  </r>
  <r>
    <s v="Regular"/>
    <x v="2"/>
    <x v="2"/>
    <x v="4"/>
    <x v="0"/>
    <x v="0"/>
    <x v="0"/>
    <x v="1"/>
    <x v="10"/>
    <n v="0"/>
    <n v="0"/>
    <n v="99.789000000000001"/>
    <n v="99.789000000000001"/>
    <n v="99.789000000000001"/>
    <n v="99.789000000000001"/>
    <n v="321"/>
    <x v="0"/>
    <n v="0"/>
    <n v="0"/>
    <n v="39"/>
    <n v="10"/>
    <n v="0"/>
    <n v="406.8"/>
    <n v="195"/>
    <m/>
    <n v="467.11598296296341"/>
    <n v="348.43937699732652"/>
    <n v="0"/>
    <n v="40594.165200000003"/>
    <n v="19458.855"/>
    <n v="0"/>
    <n v="46613.036823891154"/>
    <n v="34770.416991186219"/>
  </r>
  <r>
    <s v="Sistema de Compensação"/>
    <x v="2"/>
    <x v="2"/>
    <x v="4"/>
    <x v="0"/>
    <x v="0"/>
    <x v="0"/>
    <x v="1"/>
    <x v="10"/>
    <n v="0"/>
    <n v="0"/>
    <n v="1.3460000000000001"/>
    <n v="1.3460000000000001"/>
    <n v="1.3460000000000001"/>
    <n v="1.3460000000000001"/>
    <n v="6"/>
    <x v="0"/>
    <n v="0"/>
    <n v="0"/>
    <n v="39"/>
    <n v="10"/>
    <n v="0"/>
    <n v="406.8"/>
    <n v="195"/>
    <m/>
    <n v="467.11598296296341"/>
    <n v="348.43937699732652"/>
    <n v="0"/>
    <n v="547.55280000000005"/>
    <n v="262.47000000000003"/>
    <n v="0"/>
    <n v="628.73811306814878"/>
    <n v="468.99940143840155"/>
  </r>
  <r>
    <s v="Regular"/>
    <x v="2"/>
    <x v="2"/>
    <x v="4"/>
    <x v="0"/>
    <x v="0"/>
    <x v="0"/>
    <x v="1"/>
    <x v="11"/>
    <n v="0"/>
    <n v="0"/>
    <n v="102.925"/>
    <n v="102.925"/>
    <n v="102.925"/>
    <n v="102.925"/>
    <n v="320"/>
    <x v="0"/>
    <n v="0"/>
    <n v="0"/>
    <n v="39"/>
    <n v="10"/>
    <n v="0"/>
    <n v="406.8"/>
    <n v="195"/>
    <m/>
    <n v="467.11598296296341"/>
    <n v="348.43937699732652"/>
    <n v="0"/>
    <n v="41869.89"/>
    <n v="20070.375"/>
    <n v="0"/>
    <n v="48077.912546463005"/>
    <n v="35863.12287744983"/>
  </r>
  <r>
    <s v="Refaturamento - Regular"/>
    <x v="2"/>
    <x v="2"/>
    <x v="4"/>
    <x v="0"/>
    <x v="0"/>
    <x v="0"/>
    <x v="1"/>
    <x v="11"/>
    <n v="0"/>
    <n v="0"/>
    <n v="-8.0000000000000002E-3"/>
    <n v="-8.0000000000000002E-3"/>
    <n v="-8.0000000000000002E-3"/>
    <n v="-8.0000000000000002E-3"/>
    <n v="0"/>
    <x v="0"/>
    <n v="0"/>
    <n v="0"/>
    <n v="39"/>
    <n v="10"/>
    <n v="0"/>
    <n v="406.8"/>
    <n v="195"/>
    <m/>
    <n v="467.11598296296341"/>
    <n v="348.43937699732652"/>
    <n v="0"/>
    <n v="-3.2544"/>
    <n v="-1.56"/>
    <n v="0"/>
    <n v="-3.7369278637037073"/>
    <n v="-2.7875150159786122"/>
  </r>
  <r>
    <s v="Sistema de Compensação"/>
    <x v="2"/>
    <x v="2"/>
    <x v="4"/>
    <x v="0"/>
    <x v="0"/>
    <x v="0"/>
    <x v="1"/>
    <x v="11"/>
    <n v="0"/>
    <n v="0"/>
    <n v="1.403"/>
    <n v="1.403"/>
    <n v="1.403"/>
    <n v="1.403"/>
    <n v="6"/>
    <x v="0"/>
    <n v="0"/>
    <n v="0"/>
    <n v="39"/>
    <n v="10"/>
    <n v="0"/>
    <n v="406.8"/>
    <n v="195"/>
    <m/>
    <n v="467.11598296296341"/>
    <n v="348.43937699732652"/>
    <n v="0"/>
    <n v="570.74040000000002"/>
    <n v="273.58499999999998"/>
    <n v="0"/>
    <n v="655.36372409703768"/>
    <n v="488.86044592724909"/>
  </r>
  <r>
    <s v="Regular"/>
    <x v="3"/>
    <x v="2"/>
    <x v="0"/>
    <x v="0"/>
    <x v="0"/>
    <x v="0"/>
    <x v="1"/>
    <x v="0"/>
    <n v="0"/>
    <n v="0"/>
    <n v="17.372"/>
    <n v="17.372"/>
    <n v="17.372"/>
    <n v="17.372"/>
    <n v="43"/>
    <x v="0"/>
    <n v="0"/>
    <n v="0"/>
    <n v="61"/>
    <n v="2"/>
    <n v="0"/>
    <n v="462.27"/>
    <n v="221.6"/>
    <m/>
    <n v="496.93189676911004"/>
    <n v="370.68018829502824"/>
    <n v="0"/>
    <n v="8030.5544399999999"/>
    <n v="3849.6351999999997"/>
    <n v="0"/>
    <n v="8632.7009106729802"/>
    <n v="6439.4562310612309"/>
  </r>
  <r>
    <s v="Regular"/>
    <x v="3"/>
    <x v="2"/>
    <x v="0"/>
    <x v="0"/>
    <x v="0"/>
    <x v="0"/>
    <x v="1"/>
    <x v="1"/>
    <n v="0"/>
    <n v="0"/>
    <n v="15.944000000000001"/>
    <n v="15.944000000000001"/>
    <n v="15.944000000000001"/>
    <n v="15.944000000000001"/>
    <n v="43"/>
    <x v="0"/>
    <n v="0"/>
    <n v="0"/>
    <n v="61"/>
    <n v="2"/>
    <n v="0"/>
    <n v="462.27"/>
    <n v="221.6"/>
    <m/>
    <n v="496.93189676911004"/>
    <n v="370.68018829502824"/>
    <n v="0"/>
    <n v="7370.4328800000003"/>
    <n v="3533.1904"/>
    <n v="0"/>
    <n v="7923.0821620866909"/>
    <n v="5910.1249221759308"/>
  </r>
  <r>
    <s v="Regular"/>
    <x v="3"/>
    <x v="2"/>
    <x v="0"/>
    <x v="0"/>
    <x v="0"/>
    <x v="0"/>
    <x v="1"/>
    <x v="2"/>
    <n v="0"/>
    <n v="0"/>
    <n v="15.157"/>
    <n v="15.157"/>
    <n v="15.157"/>
    <n v="15.157"/>
    <n v="42"/>
    <x v="0"/>
    <n v="0"/>
    <n v="0"/>
    <n v="61"/>
    <n v="2"/>
    <n v="0"/>
    <n v="462.27"/>
    <n v="221.6"/>
    <m/>
    <n v="496.93189676911004"/>
    <n v="370.68018829502824"/>
    <n v="0"/>
    <n v="7006.6263899999994"/>
    <n v="3358.7912000000001"/>
    <n v="0"/>
    <n v="7531.9967593294004"/>
    <n v="5618.3996139877427"/>
  </r>
  <r>
    <s v="Regular"/>
    <x v="3"/>
    <x v="2"/>
    <x v="0"/>
    <x v="0"/>
    <x v="0"/>
    <x v="0"/>
    <x v="1"/>
    <x v="3"/>
    <n v="0"/>
    <n v="0"/>
    <n v="16.385000000000002"/>
    <n v="16.385000000000002"/>
    <n v="16.385000000000002"/>
    <n v="16.385000000000002"/>
    <n v="43"/>
    <x v="0"/>
    <n v="0"/>
    <n v="0"/>
    <n v="61"/>
    <n v="2"/>
    <n v="0"/>
    <n v="462.27"/>
    <n v="221.6"/>
    <m/>
    <n v="496.93189676911004"/>
    <n v="370.68018829502824"/>
    <n v="0"/>
    <n v="7574.2939500000002"/>
    <n v="3630.9160000000002"/>
    <n v="0"/>
    <n v="8142.2291285618685"/>
    <n v="6073.5948852140382"/>
  </r>
  <r>
    <s v="Regular"/>
    <x v="3"/>
    <x v="2"/>
    <x v="0"/>
    <x v="0"/>
    <x v="0"/>
    <x v="0"/>
    <x v="1"/>
    <x v="4"/>
    <n v="0"/>
    <n v="0"/>
    <n v="19.715"/>
    <n v="19.715"/>
    <n v="19.715"/>
    <n v="19.715"/>
    <n v="42"/>
    <x v="0"/>
    <n v="0"/>
    <n v="0"/>
    <n v="61"/>
    <n v="2"/>
    <n v="0"/>
    <n v="462.27"/>
    <n v="221.6"/>
    <m/>
    <n v="496.93189676911004"/>
    <n v="370.68018829502824"/>
    <n v="0"/>
    <n v="9113.653049999999"/>
    <n v="4368.8440000000001"/>
    <n v="0"/>
    <n v="9797.0123448030045"/>
    <n v="7307.9599122364816"/>
  </r>
  <r>
    <s v="Regular"/>
    <x v="3"/>
    <x v="2"/>
    <x v="0"/>
    <x v="0"/>
    <x v="0"/>
    <x v="0"/>
    <x v="1"/>
    <x v="5"/>
    <n v="0"/>
    <n v="0"/>
    <n v="16.547999999999998"/>
    <n v="16.547999999999998"/>
    <n v="16.547999999999998"/>
    <n v="16.547999999999998"/>
    <n v="43"/>
    <x v="0"/>
    <n v="0"/>
    <n v="0"/>
    <n v="61"/>
    <n v="2"/>
    <n v="0"/>
    <n v="462.27"/>
    <n v="221.6"/>
    <m/>
    <n v="496.93189676911004"/>
    <n v="370.68018829502824"/>
    <n v="0"/>
    <n v="7649.6439599999985"/>
    <n v="3667.0367999999994"/>
    <n v="0"/>
    <n v="8223.2290277352313"/>
    <n v="6134.0157559061272"/>
  </r>
  <r>
    <s v="Regular"/>
    <x v="3"/>
    <x v="2"/>
    <x v="0"/>
    <x v="0"/>
    <x v="0"/>
    <x v="0"/>
    <x v="1"/>
    <x v="6"/>
    <n v="0"/>
    <n v="0"/>
    <n v="19.779"/>
    <n v="19.779"/>
    <n v="19.779"/>
    <n v="19.779"/>
    <n v="44"/>
    <x v="0"/>
    <n v="0"/>
    <n v="0"/>
    <n v="61"/>
    <n v="2"/>
    <n v="0"/>
    <n v="462.27"/>
    <n v="221.6"/>
    <m/>
    <n v="496.93189676911004"/>
    <n v="370.68018829502824"/>
    <n v="0"/>
    <n v="9143.2383300000001"/>
    <n v="4383.0263999999997"/>
    <n v="0"/>
    <n v="9828.8159861962267"/>
    <n v="7331.6834442873633"/>
  </r>
  <r>
    <s v="Regular"/>
    <x v="3"/>
    <x v="2"/>
    <x v="0"/>
    <x v="0"/>
    <x v="0"/>
    <x v="0"/>
    <x v="1"/>
    <x v="7"/>
    <n v="0"/>
    <n v="0"/>
    <n v="16.95"/>
    <n v="16.95"/>
    <n v="16.95"/>
    <n v="16.95"/>
    <n v="43"/>
    <x v="0"/>
    <n v="0"/>
    <n v="0"/>
    <n v="61"/>
    <n v="2"/>
    <n v="0"/>
    <n v="462.27"/>
    <n v="221.6"/>
    <m/>
    <n v="496.93189676911004"/>
    <n v="370.68018829502824"/>
    <n v="0"/>
    <n v="7835.4764999999998"/>
    <n v="3756.12"/>
    <n v="0"/>
    <n v="8422.9956502364148"/>
    <n v="6283.0291916007282"/>
  </r>
  <r>
    <s v="Regular"/>
    <x v="3"/>
    <x v="2"/>
    <x v="0"/>
    <x v="0"/>
    <x v="0"/>
    <x v="0"/>
    <x v="1"/>
    <x v="8"/>
    <n v="0"/>
    <n v="0"/>
    <n v="19.076000000000001"/>
    <n v="19.076000000000001"/>
    <n v="19.076000000000001"/>
    <n v="19.076000000000001"/>
    <n v="43"/>
    <x v="0"/>
    <n v="0"/>
    <n v="0"/>
    <n v="61"/>
    <n v="2"/>
    <n v="0"/>
    <n v="462.27"/>
    <n v="221.6"/>
    <m/>
    <n v="496.93189676911004"/>
    <n v="370.68018829502824"/>
    <n v="0"/>
    <n v="8818.2625200000002"/>
    <n v="4227.2416000000003"/>
    <n v="0"/>
    <n v="9479.4728627675431"/>
    <n v="7071.0952719159586"/>
  </r>
  <r>
    <s v="Regular"/>
    <x v="3"/>
    <x v="2"/>
    <x v="0"/>
    <x v="0"/>
    <x v="0"/>
    <x v="0"/>
    <x v="1"/>
    <x v="9"/>
    <n v="0"/>
    <n v="0"/>
    <n v="16.850000000000001"/>
    <n v="16.850000000000001"/>
    <n v="16.850000000000001"/>
    <n v="16.850000000000001"/>
    <n v="43"/>
    <x v="0"/>
    <n v="0"/>
    <n v="0"/>
    <n v="61"/>
    <n v="2"/>
    <n v="0"/>
    <n v="462.27"/>
    <n v="221.6"/>
    <m/>
    <n v="496.93189676911004"/>
    <n v="370.68018829502824"/>
    <n v="0"/>
    <n v="7789.2494999999999"/>
    <n v="3733.96"/>
    <n v="0"/>
    <n v="8373.3024605595056"/>
    <n v="6245.9611727712263"/>
  </r>
  <r>
    <s v="Refaturamento - Regular"/>
    <x v="3"/>
    <x v="2"/>
    <x v="0"/>
    <x v="0"/>
    <x v="0"/>
    <x v="0"/>
    <x v="1"/>
    <x v="9"/>
    <n v="0"/>
    <n v="0"/>
    <n v="-0.26300000000000001"/>
    <n v="-0.26300000000000001"/>
    <n v="-0.26300000000000001"/>
    <n v="-0.26300000000000001"/>
    <n v="0"/>
    <x v="0"/>
    <n v="0"/>
    <n v="0"/>
    <n v="61"/>
    <n v="2"/>
    <n v="0"/>
    <n v="462.27"/>
    <n v="221.6"/>
    <m/>
    <n v="496.93189676911004"/>
    <n v="370.68018829502824"/>
    <n v="0"/>
    <n v="-121.57701"/>
    <n v="-58.280799999999999"/>
    <n v="0"/>
    <n v="-130.69308885027596"/>
    <n v="-97.488889521592426"/>
  </r>
  <r>
    <s v="Regular"/>
    <x v="3"/>
    <x v="2"/>
    <x v="0"/>
    <x v="0"/>
    <x v="0"/>
    <x v="0"/>
    <x v="1"/>
    <x v="10"/>
    <n v="0"/>
    <n v="0"/>
    <n v="16.61"/>
    <n v="16.61"/>
    <n v="16.61"/>
    <n v="16.61"/>
    <n v="44"/>
    <x v="0"/>
    <n v="0"/>
    <n v="0"/>
    <n v="61"/>
    <n v="2"/>
    <n v="0"/>
    <n v="462.27"/>
    <n v="221.6"/>
    <m/>
    <n v="496.93189676911004"/>
    <n v="370.68018829502824"/>
    <n v="0"/>
    <n v="7678.3046999999997"/>
    <n v="3680.7759999999998"/>
    <n v="0"/>
    <n v="8254.0388053349179"/>
    <n v="6156.9979275804189"/>
  </r>
  <r>
    <s v="Regular"/>
    <x v="3"/>
    <x v="2"/>
    <x v="0"/>
    <x v="0"/>
    <x v="0"/>
    <x v="0"/>
    <x v="1"/>
    <x v="11"/>
    <n v="0"/>
    <n v="0"/>
    <n v="17.398"/>
    <n v="17.398"/>
    <n v="17.398"/>
    <n v="17.398"/>
    <n v="44"/>
    <x v="0"/>
    <n v="0"/>
    <n v="0"/>
    <n v="61"/>
    <n v="2"/>
    <n v="0"/>
    <n v="462.27"/>
    <n v="221.6"/>
    <m/>
    <n v="496.93189676911004"/>
    <n v="370.68018829502824"/>
    <n v="0"/>
    <n v="8042.5734599999996"/>
    <n v="3855.3968"/>
    <n v="0"/>
    <n v="8645.6211399889762"/>
    <n v="6449.0939159569016"/>
  </r>
  <r>
    <s v="Regular"/>
    <x v="3"/>
    <x v="2"/>
    <x v="5"/>
    <x v="0"/>
    <x v="0"/>
    <x v="0"/>
    <x v="1"/>
    <x v="0"/>
    <n v="0"/>
    <n v="0"/>
    <n v="6.7140000000000004"/>
    <n v="6.7140000000000004"/>
    <n v="6.7140000000000004"/>
    <n v="6.7140000000000004"/>
    <n v="10"/>
    <x v="0"/>
    <n v="0"/>
    <n v="0"/>
    <n v="61"/>
    <n v="2"/>
    <n v="0"/>
    <n v="462.27"/>
    <n v="221.6"/>
    <m/>
    <n v="496.93189676911004"/>
    <n v="370.68018829502824"/>
    <n v="0"/>
    <n v="3103.6807800000001"/>
    <n v="1487.8224"/>
    <n v="0"/>
    <n v="3336.4007549078051"/>
    <n v="2488.7467842128199"/>
  </r>
  <r>
    <s v="Regular"/>
    <x v="3"/>
    <x v="2"/>
    <x v="5"/>
    <x v="0"/>
    <x v="0"/>
    <x v="0"/>
    <x v="1"/>
    <x v="1"/>
    <n v="0"/>
    <n v="0"/>
    <n v="6.1349999999999998"/>
    <n v="6.1349999999999998"/>
    <n v="6.1349999999999998"/>
    <n v="6.1349999999999998"/>
    <n v="10"/>
    <x v="0"/>
    <n v="0"/>
    <n v="0"/>
    <n v="61"/>
    <n v="2"/>
    <n v="0"/>
    <n v="462.27"/>
    <n v="221.6"/>
    <m/>
    <n v="496.93189676911004"/>
    <n v="370.68018829502824"/>
    <n v="0"/>
    <n v="2836.0264499999998"/>
    <n v="1359.5159999999998"/>
    <n v="0"/>
    <n v="3048.6771866784898"/>
    <n v="2274.1229551899983"/>
  </r>
  <r>
    <s v="Regular"/>
    <x v="3"/>
    <x v="2"/>
    <x v="5"/>
    <x v="0"/>
    <x v="0"/>
    <x v="0"/>
    <x v="1"/>
    <x v="2"/>
    <n v="0"/>
    <n v="0"/>
    <n v="5.7809999999999997"/>
    <n v="5.7809999999999997"/>
    <n v="5.7809999999999997"/>
    <n v="5.7809999999999997"/>
    <n v="10"/>
    <x v="0"/>
    <n v="0"/>
    <n v="0"/>
    <n v="61"/>
    <n v="2"/>
    <n v="0"/>
    <n v="462.27"/>
    <n v="221.6"/>
    <m/>
    <n v="496.93189676911004"/>
    <n v="370.68018829502824"/>
    <n v="0"/>
    <n v="2672.3828699999999"/>
    <n v="1281.0695999999998"/>
    <n v="0"/>
    <n v="2872.7632952222248"/>
    <n v="2142.9021685335583"/>
  </r>
  <r>
    <s v="Regular"/>
    <x v="3"/>
    <x v="2"/>
    <x v="5"/>
    <x v="0"/>
    <x v="0"/>
    <x v="0"/>
    <x v="1"/>
    <x v="3"/>
    <n v="0"/>
    <n v="0"/>
    <n v="6.4459999999999997"/>
    <n v="6.4459999999999997"/>
    <n v="6.4459999999999997"/>
    <n v="6.4459999999999997"/>
    <n v="10"/>
    <x v="0"/>
    <n v="0"/>
    <n v="0"/>
    <n v="61"/>
    <n v="2"/>
    <n v="0"/>
    <n v="462.27"/>
    <n v="221.6"/>
    <m/>
    <n v="496.93189676911004"/>
    <n v="370.68018829502824"/>
    <n v="0"/>
    <n v="2979.7924199999998"/>
    <n v="1428.4335999999998"/>
    <n v="0"/>
    <n v="3203.2230065736831"/>
    <n v="2389.404493749752"/>
  </r>
  <r>
    <s v="Regular"/>
    <x v="3"/>
    <x v="2"/>
    <x v="5"/>
    <x v="0"/>
    <x v="0"/>
    <x v="0"/>
    <x v="1"/>
    <x v="4"/>
    <n v="0"/>
    <n v="0"/>
    <n v="6.3730000000000002"/>
    <n v="6.3730000000000002"/>
    <n v="6.3730000000000002"/>
    <n v="6.3730000000000002"/>
    <n v="10"/>
    <x v="0"/>
    <n v="0"/>
    <n v="0"/>
    <n v="61"/>
    <n v="2"/>
    <n v="0"/>
    <n v="462.27"/>
    <n v="221.6"/>
    <m/>
    <n v="496.93189676911004"/>
    <n v="370.68018829502824"/>
    <n v="0"/>
    <n v="2946.0467100000001"/>
    <n v="1412.2568000000001"/>
    <n v="0"/>
    <n v="3166.9469781095386"/>
    <n v="2362.3448400042153"/>
  </r>
  <r>
    <s v="Regular"/>
    <x v="3"/>
    <x v="2"/>
    <x v="5"/>
    <x v="0"/>
    <x v="0"/>
    <x v="0"/>
    <x v="1"/>
    <x v="5"/>
    <n v="0"/>
    <n v="0"/>
    <n v="6.9450000000000003"/>
    <n v="6.9450000000000003"/>
    <n v="6.9450000000000003"/>
    <n v="6.9450000000000003"/>
    <n v="10"/>
    <x v="0"/>
    <n v="0"/>
    <n v="0"/>
    <n v="61"/>
    <n v="2"/>
    <n v="0"/>
    <n v="462.27"/>
    <n v="221.6"/>
    <m/>
    <n v="496.93189676911004"/>
    <n v="370.68018829502824"/>
    <n v="0"/>
    <n v="3210.46515"/>
    <n v="1539.0119999999999"/>
    <n v="0"/>
    <n v="3451.1920230614692"/>
    <n v="2574.3739077089713"/>
  </r>
  <r>
    <s v="Regular"/>
    <x v="3"/>
    <x v="2"/>
    <x v="5"/>
    <x v="0"/>
    <x v="0"/>
    <x v="0"/>
    <x v="1"/>
    <x v="6"/>
    <n v="0"/>
    <n v="0"/>
    <n v="7.6479999999999997"/>
    <n v="7.6479999999999997"/>
    <n v="7.6479999999999997"/>
    <n v="7.6479999999999997"/>
    <n v="10"/>
    <x v="0"/>
    <n v="0"/>
    <n v="0"/>
    <n v="61"/>
    <n v="2"/>
    <n v="0"/>
    <n v="462.27"/>
    <n v="221.6"/>
    <m/>
    <n v="496.93189676911004"/>
    <n v="370.68018829502824"/>
    <n v="0"/>
    <n v="3535.4409599999999"/>
    <n v="1694.7967999999998"/>
    <n v="0"/>
    <n v="3800.5351464901532"/>
    <n v="2834.9620800803759"/>
  </r>
  <r>
    <s v="Regular"/>
    <x v="3"/>
    <x v="2"/>
    <x v="5"/>
    <x v="0"/>
    <x v="0"/>
    <x v="0"/>
    <x v="1"/>
    <x v="7"/>
    <n v="0"/>
    <n v="0"/>
    <n v="6.5309999999999997"/>
    <n v="6.5309999999999997"/>
    <n v="6.5309999999999997"/>
    <n v="6.5309999999999997"/>
    <n v="10"/>
    <x v="0"/>
    <n v="0"/>
    <n v="0"/>
    <n v="61"/>
    <n v="2"/>
    <n v="0"/>
    <n v="462.27"/>
    <n v="221.6"/>
    <m/>
    <n v="496.93189676911004"/>
    <n v="370.68018829502824"/>
    <n v="0"/>
    <n v="3019.0853699999998"/>
    <n v="1447.2695999999999"/>
    <n v="0"/>
    <n v="3245.4622177990577"/>
    <n v="2420.9123097548295"/>
  </r>
  <r>
    <s v="Regular"/>
    <x v="3"/>
    <x v="2"/>
    <x v="5"/>
    <x v="0"/>
    <x v="0"/>
    <x v="0"/>
    <x v="1"/>
    <x v="8"/>
    <n v="0"/>
    <n v="0"/>
    <n v="7.01"/>
    <n v="7.01"/>
    <n v="7.01"/>
    <n v="7.01"/>
    <n v="10"/>
    <x v="0"/>
    <n v="0"/>
    <n v="0"/>
    <n v="61"/>
    <n v="2"/>
    <n v="0"/>
    <n v="462.27"/>
    <n v="221.6"/>
    <m/>
    <n v="496.93189676911004"/>
    <n v="370.68018829502824"/>
    <n v="0"/>
    <n v="3240.5126999999998"/>
    <n v="1553.4159999999999"/>
    <n v="0"/>
    <n v="3483.4925963514611"/>
    <n v="2598.4681199481479"/>
  </r>
  <r>
    <s v="Regular"/>
    <x v="3"/>
    <x v="2"/>
    <x v="5"/>
    <x v="0"/>
    <x v="0"/>
    <x v="0"/>
    <x v="1"/>
    <x v="9"/>
    <n v="0"/>
    <n v="0"/>
    <n v="5.4660000000000002"/>
    <n v="5.4660000000000002"/>
    <n v="5.4660000000000002"/>
    <n v="5.4660000000000002"/>
    <n v="10"/>
    <x v="0"/>
    <n v="0"/>
    <n v="0"/>
    <n v="61"/>
    <n v="2"/>
    <n v="0"/>
    <n v="462.27"/>
    <n v="221.6"/>
    <m/>
    <n v="496.93189676911004"/>
    <n v="370.68018829502824"/>
    <n v="0"/>
    <n v="2526.76782"/>
    <n v="1211.2655999999999"/>
    <n v="0"/>
    <n v="2716.2297477399557"/>
    <n v="2026.1379092206244"/>
  </r>
  <r>
    <s v="Regular"/>
    <x v="3"/>
    <x v="2"/>
    <x v="5"/>
    <x v="0"/>
    <x v="0"/>
    <x v="0"/>
    <x v="1"/>
    <x v="10"/>
    <n v="0"/>
    <n v="0"/>
    <n v="5.9020000000000001"/>
    <n v="5.9020000000000001"/>
    <n v="5.9020000000000001"/>
    <n v="5.9020000000000001"/>
    <n v="10"/>
    <x v="0"/>
    <n v="0"/>
    <n v="0"/>
    <n v="61"/>
    <n v="2"/>
    <n v="0"/>
    <n v="462.27"/>
    <n v="221.6"/>
    <m/>
    <n v="496.93189676911004"/>
    <n v="370.68018829502824"/>
    <n v="0"/>
    <n v="2728.31754"/>
    <n v="1307.8832"/>
    <n v="0"/>
    <n v="2932.8920547312873"/>
    <n v="2187.754471317257"/>
  </r>
  <r>
    <s v="Regular"/>
    <x v="3"/>
    <x v="2"/>
    <x v="5"/>
    <x v="0"/>
    <x v="0"/>
    <x v="0"/>
    <x v="1"/>
    <x v="11"/>
    <n v="0"/>
    <n v="0"/>
    <n v="5.8460000000000001"/>
    <n v="5.8460000000000001"/>
    <n v="5.8460000000000001"/>
    <n v="5.8460000000000001"/>
    <n v="10"/>
    <x v="0"/>
    <n v="0"/>
    <n v="0"/>
    <n v="61"/>
    <n v="2"/>
    <n v="0"/>
    <n v="462.27"/>
    <n v="221.6"/>
    <m/>
    <n v="496.93189676911004"/>
    <n v="370.68018829502824"/>
    <n v="0"/>
    <n v="2702.4304200000001"/>
    <n v="1295.4736"/>
    <n v="0"/>
    <n v="2905.0638685122171"/>
    <n v="2166.9963807727349"/>
  </r>
  <r>
    <s v="Regular"/>
    <x v="3"/>
    <x v="2"/>
    <x v="2"/>
    <x v="1"/>
    <x v="0"/>
    <x v="0"/>
    <x v="1"/>
    <x v="0"/>
    <n v="0"/>
    <n v="0"/>
    <n v="25.248000000000001"/>
    <n v="23.73312"/>
    <n v="25.248000000000001"/>
    <n v="23.73312"/>
    <n v="6"/>
    <x v="0"/>
    <n v="0"/>
    <n v="0"/>
    <n v="61"/>
    <n v="2"/>
    <n v="0"/>
    <n v="462.27"/>
    <n v="221.6"/>
    <m/>
    <n v="496.93189676911004"/>
    <n v="370.68018829502824"/>
    <n v="0"/>
    <n v="10971.1093824"/>
    <n v="5259.2593919999999"/>
    <n v="0"/>
    <n v="11793.744337848901"/>
    <n v="8797.3973904285012"/>
  </r>
  <r>
    <s v="Regular"/>
    <x v="3"/>
    <x v="2"/>
    <x v="2"/>
    <x v="1"/>
    <x v="0"/>
    <x v="0"/>
    <x v="1"/>
    <x v="1"/>
    <n v="0"/>
    <n v="0"/>
    <n v="28.202000000000002"/>
    <n v="26.509879999999999"/>
    <n v="28.202000000000002"/>
    <n v="26.509879999999999"/>
    <n v="6"/>
    <x v="0"/>
    <n v="0"/>
    <n v="0"/>
    <n v="61"/>
    <n v="2"/>
    <n v="0"/>
    <n v="462.27"/>
    <n v="221.6"/>
    <m/>
    <n v="496.93189676911004"/>
    <n v="370.68018829502824"/>
    <n v="0"/>
    <n v="12254.722227599999"/>
    <n v="5874.5894079999998"/>
    <n v="0"/>
    <n v="13173.604951521495"/>
    <n v="9826.6873100786033"/>
  </r>
  <r>
    <s v="Regular"/>
    <x v="3"/>
    <x v="2"/>
    <x v="2"/>
    <x v="1"/>
    <x v="0"/>
    <x v="0"/>
    <x v="1"/>
    <x v="2"/>
    <n v="0"/>
    <n v="0"/>
    <n v="26.925000000000001"/>
    <n v="25.3095"/>
    <n v="26.925000000000001"/>
    <n v="25.3095"/>
    <n v="6"/>
    <x v="0"/>
    <n v="0"/>
    <n v="0"/>
    <n v="61"/>
    <n v="2"/>
    <n v="0"/>
    <n v="462.27"/>
    <n v="221.6"/>
    <m/>
    <n v="496.93189676911004"/>
    <n v="370.68018829502824"/>
    <n v="0"/>
    <n v="11699.822565"/>
    <n v="5608.5851999999995"/>
    <n v="0"/>
    <n v="12577.097841277791"/>
    <n v="9381.7302256530165"/>
  </r>
  <r>
    <s v="Regular"/>
    <x v="3"/>
    <x v="2"/>
    <x v="2"/>
    <x v="1"/>
    <x v="0"/>
    <x v="0"/>
    <x v="1"/>
    <x v="3"/>
    <n v="0"/>
    <n v="0"/>
    <n v="27.533000000000001"/>
    <n v="25.881019999999999"/>
    <n v="27.533000000000001"/>
    <n v="25.881019999999999"/>
    <n v="6"/>
    <x v="0"/>
    <n v="0"/>
    <n v="0"/>
    <n v="61"/>
    <n v="2"/>
    <n v="0"/>
    <n v="462.27"/>
    <n v="221.6"/>
    <m/>
    <n v="496.93189676911004"/>
    <n v="370.68018829502824"/>
    <n v="0"/>
    <n v="11964.019115399999"/>
    <n v="5735.2340319999994"/>
    <n v="0"/>
    <n v="12861.104358919272"/>
    <n v="9593.5813668673909"/>
  </r>
  <r>
    <s v="Regular"/>
    <x v="3"/>
    <x v="2"/>
    <x v="2"/>
    <x v="1"/>
    <x v="0"/>
    <x v="0"/>
    <x v="1"/>
    <x v="4"/>
    <n v="0"/>
    <n v="0"/>
    <n v="37.966000000000001"/>
    <n v="35.688040000000001"/>
    <n v="37.966000000000001"/>
    <n v="35.688040000000001"/>
    <n v="6"/>
    <x v="0"/>
    <n v="0"/>
    <n v="0"/>
    <n v="61"/>
    <n v="2"/>
    <n v="0"/>
    <n v="462.27"/>
    <n v="221.6"/>
    <m/>
    <n v="496.93189676911004"/>
    <n v="370.68018829502824"/>
    <n v="0"/>
    <n v="16497.510250799998"/>
    <n v="7908.4696640000002"/>
    <n v="0"/>
    <n v="17734.525409171871"/>
    <n v="13228.8493870805"/>
  </r>
  <r>
    <s v="Regular"/>
    <x v="3"/>
    <x v="2"/>
    <x v="2"/>
    <x v="1"/>
    <x v="0"/>
    <x v="0"/>
    <x v="1"/>
    <x v="5"/>
    <n v="0"/>
    <n v="0"/>
    <n v="30.204000000000001"/>
    <n v="28.391760000000001"/>
    <n v="30.204000000000001"/>
    <n v="28.391760000000001"/>
    <n v="6"/>
    <x v="0"/>
    <n v="0"/>
    <n v="0"/>
    <n v="61"/>
    <n v="2"/>
    <n v="0"/>
    <n v="462.27"/>
    <n v="221.6"/>
    <m/>
    <n v="496.93189676911004"/>
    <n v="370.68018829502824"/>
    <n v="0"/>
    <n v="13124.6588952"/>
    <n v="6291.6140160000004"/>
    <n v="0"/>
    <n v="14108.771149413349"/>
    <n v="10524.262942827252"/>
  </r>
  <r>
    <s v="Regular"/>
    <x v="3"/>
    <x v="2"/>
    <x v="2"/>
    <x v="1"/>
    <x v="0"/>
    <x v="0"/>
    <x v="1"/>
    <x v="6"/>
    <n v="0"/>
    <n v="0"/>
    <n v="24.367000000000001"/>
    <n v="22.904979999999998"/>
    <n v="24.367000000000001"/>
    <n v="22.904979999999998"/>
    <n v="6"/>
    <x v="0"/>
    <n v="0"/>
    <n v="0"/>
    <n v="61"/>
    <n v="2"/>
    <n v="0"/>
    <n v="462.27"/>
    <n v="221.6"/>
    <m/>
    <n v="496.93189676911004"/>
    <n v="370.68018829502824"/>
    <n v="0"/>
    <n v="10588.2851046"/>
    <n v="5075.7435679999999"/>
    <n v="0"/>
    <n v="11382.215156858529"/>
    <n v="8490.4222992938558"/>
  </r>
  <r>
    <s v="Regular"/>
    <x v="3"/>
    <x v="2"/>
    <x v="2"/>
    <x v="1"/>
    <x v="0"/>
    <x v="0"/>
    <x v="1"/>
    <x v="7"/>
    <n v="0"/>
    <n v="0"/>
    <n v="41.77"/>
    <n v="39.263800000000003"/>
    <n v="41.77"/>
    <n v="39.263800000000003"/>
    <n v="6"/>
    <x v="0"/>
    <n v="0"/>
    <n v="0"/>
    <n v="61"/>
    <n v="2"/>
    <n v="0"/>
    <n v="462.27"/>
    <n v="221.6"/>
    <m/>
    <n v="496.93189676911004"/>
    <n v="370.68018829502824"/>
    <n v="0"/>
    <n v="18150.476826000002"/>
    <n v="8700.85808"/>
    <n v="0"/>
    <n v="19511.434608362986"/>
    <n v="14554.312777178331"/>
  </r>
  <r>
    <s v="Regular"/>
    <x v="3"/>
    <x v="2"/>
    <x v="2"/>
    <x v="1"/>
    <x v="0"/>
    <x v="0"/>
    <x v="1"/>
    <x v="8"/>
    <n v="0"/>
    <n v="0"/>
    <n v="37.753"/>
    <n v="35.487819999999999"/>
    <n v="37.753"/>
    <n v="35.487819999999999"/>
    <n v="6"/>
    <x v="0"/>
    <n v="0"/>
    <n v="0"/>
    <n v="61"/>
    <n v="2"/>
    <n v="0"/>
    <n v="462.27"/>
    <n v="221.6"/>
    <m/>
    <n v="496.93189676911004"/>
    <n v="370.68018829502824"/>
    <n v="0"/>
    <n v="16404.954551399998"/>
    <n v="7864.1009119999999"/>
    <n v="0"/>
    <n v="17635.02970480076"/>
    <n v="13154.631799780069"/>
  </r>
  <r>
    <s v="Regular"/>
    <x v="3"/>
    <x v="2"/>
    <x v="2"/>
    <x v="1"/>
    <x v="0"/>
    <x v="0"/>
    <x v="1"/>
    <x v="9"/>
    <n v="0"/>
    <n v="0"/>
    <n v="20.911000000000001"/>
    <n v="19.65634"/>
    <n v="20.911000000000001"/>
    <n v="19.65634"/>
    <n v="6"/>
    <x v="0"/>
    <n v="0"/>
    <n v="0"/>
    <n v="61"/>
    <n v="2"/>
    <n v="0"/>
    <n v="462.27"/>
    <n v="221.6"/>
    <m/>
    <n v="496.93189676911004"/>
    <n v="370.68018829502824"/>
    <n v="0"/>
    <n v="9086.5362917999992"/>
    <n v="4355.8449439999995"/>
    <n v="0"/>
    <n v="9767.8623197385277"/>
    <n v="7286.2158123910958"/>
  </r>
  <r>
    <s v="Regular"/>
    <x v="3"/>
    <x v="2"/>
    <x v="2"/>
    <x v="1"/>
    <x v="0"/>
    <x v="0"/>
    <x v="1"/>
    <x v="10"/>
    <n v="0"/>
    <n v="0"/>
    <n v="28.986999999999998"/>
    <n v="27.247779999999999"/>
    <n v="28.986999999999998"/>
    <n v="27.247779999999999"/>
    <n v="6"/>
    <x v="0"/>
    <n v="0"/>
    <n v="0"/>
    <n v="61"/>
    <n v="2"/>
    <n v="0"/>
    <n v="462.27"/>
    <n v="221.6"/>
    <m/>
    <n v="496.93189676911004"/>
    <n v="370.68018829502824"/>
    <n v="0"/>
    <n v="12595.831260599998"/>
    <n v="6038.1080479999991"/>
    <n v="0"/>
    <n v="13540.29099814742"/>
    <n v="10100.212221021504"/>
  </r>
  <r>
    <s v="Regular"/>
    <x v="3"/>
    <x v="2"/>
    <x v="2"/>
    <x v="1"/>
    <x v="0"/>
    <x v="0"/>
    <x v="1"/>
    <x v="11"/>
    <n v="0"/>
    <n v="0"/>
    <n v="29.271999999999998"/>
    <n v="27.51568"/>
    <n v="29.271999999999998"/>
    <n v="27.51568"/>
    <n v="6"/>
    <x v="0"/>
    <n v="0"/>
    <n v="0"/>
    <n v="61"/>
    <n v="2"/>
    <n v="0"/>
    <n v="462.27"/>
    <n v="221.6"/>
    <m/>
    <n v="496.93189676911004"/>
    <n v="370.68018829502824"/>
    <n v="0"/>
    <n v="12719.6733936"/>
    <n v="6097.4746879999993"/>
    <n v="0"/>
    <n v="13673.419053291866"/>
    <n v="10199.517443465742"/>
  </r>
  <r>
    <s v="Regular"/>
    <x v="4"/>
    <x v="2"/>
    <x v="6"/>
    <x v="7"/>
    <x v="0"/>
    <x v="0"/>
    <x v="1"/>
    <x v="0"/>
    <n v="0"/>
    <n v="0"/>
    <n v="43.204999999999998"/>
    <n v="43.204999999999998"/>
    <n v="43.204999999999998"/>
    <n v="43.204999999999998"/>
    <n v="3"/>
    <x v="0"/>
    <n v="0"/>
    <n v="0"/>
    <n v="67"/>
    <n v="7"/>
    <n v="0"/>
    <n v="254.25"/>
    <n v="121.88"/>
    <m/>
    <n v="273.31254322301049"/>
    <n v="203.87410356226556"/>
    <n v="0"/>
    <n v="10984.87125"/>
    <n v="5265.8253999999997"/>
    <n v="0"/>
    <n v="11808.468429950168"/>
    <n v="8808.3806444076836"/>
  </r>
  <r>
    <s v="Regular"/>
    <x v="4"/>
    <x v="2"/>
    <x v="6"/>
    <x v="7"/>
    <x v="0"/>
    <x v="0"/>
    <x v="1"/>
    <x v="1"/>
    <n v="0"/>
    <n v="0"/>
    <n v="44.646999999999998"/>
    <n v="44.646999999999998"/>
    <n v="44.646999999999998"/>
    <n v="44.646999999999998"/>
    <n v="3"/>
    <x v="0"/>
    <n v="0"/>
    <n v="0"/>
    <n v="67"/>
    <n v="7"/>
    <n v="0"/>
    <n v="254.25"/>
    <n v="121.88"/>
    <m/>
    <n v="273.31254322301049"/>
    <n v="203.87410356226556"/>
    <n v="0"/>
    <n v="11351.499749999999"/>
    <n v="5441.57636"/>
    <n v="0"/>
    <n v="12202.585117277749"/>
    <n v="9102.3671017444703"/>
  </r>
  <r>
    <s v="Regular"/>
    <x v="4"/>
    <x v="2"/>
    <x v="6"/>
    <x v="7"/>
    <x v="0"/>
    <x v="0"/>
    <x v="1"/>
    <x v="2"/>
    <n v="0"/>
    <n v="0"/>
    <n v="45.448"/>
    <n v="45.448"/>
    <n v="45.448"/>
    <n v="45.448"/>
    <n v="3"/>
    <x v="0"/>
    <n v="0"/>
    <n v="0"/>
    <n v="67"/>
    <n v="7"/>
    <n v="0"/>
    <n v="254.25"/>
    <n v="121.88"/>
    <m/>
    <n v="273.31254322301049"/>
    <n v="203.87410356226556"/>
    <n v="0"/>
    <n v="11555.154"/>
    <n v="5539.2022399999996"/>
    <n v="0"/>
    <n v="12421.508464399381"/>
    <n v="9265.6702586978445"/>
  </r>
  <r>
    <s v="Regular"/>
    <x v="4"/>
    <x v="2"/>
    <x v="6"/>
    <x v="7"/>
    <x v="0"/>
    <x v="0"/>
    <x v="1"/>
    <x v="3"/>
    <n v="0"/>
    <n v="0"/>
    <n v="46.963999999999999"/>
    <n v="46.963999999999999"/>
    <n v="46.963999999999999"/>
    <n v="46.963999999999999"/>
    <n v="3"/>
    <x v="0"/>
    <n v="0"/>
    <n v="0"/>
    <n v="67"/>
    <n v="7"/>
    <n v="0"/>
    <n v="254.25"/>
    <n v="121.88"/>
    <m/>
    <n v="273.31254322301049"/>
    <n v="203.87410356226556"/>
    <n v="0"/>
    <n v="11940.597"/>
    <n v="5723.9723199999999"/>
    <n v="0"/>
    <n v="12835.850279925464"/>
    <n v="9574.74339969824"/>
  </r>
  <r>
    <s v="Regular"/>
    <x v="4"/>
    <x v="2"/>
    <x v="6"/>
    <x v="7"/>
    <x v="0"/>
    <x v="0"/>
    <x v="1"/>
    <x v="4"/>
    <n v="0"/>
    <n v="0"/>
    <n v="46.963999999999999"/>
    <n v="46.963999999999999"/>
    <n v="46.963999999999999"/>
    <n v="46.963999999999999"/>
    <n v="3"/>
    <x v="0"/>
    <n v="0"/>
    <n v="0"/>
    <n v="67"/>
    <n v="7"/>
    <n v="0"/>
    <n v="254.25"/>
    <n v="121.88"/>
    <m/>
    <n v="273.31254322301049"/>
    <n v="203.87410356226556"/>
    <n v="0"/>
    <n v="11940.597"/>
    <n v="5723.9723199999999"/>
    <n v="0"/>
    <n v="12835.850279925464"/>
    <n v="9574.74339969824"/>
  </r>
  <r>
    <s v="Regular"/>
    <x v="4"/>
    <x v="2"/>
    <x v="6"/>
    <x v="7"/>
    <x v="0"/>
    <x v="0"/>
    <x v="1"/>
    <x v="5"/>
    <n v="0"/>
    <n v="0"/>
    <n v="43.518000000000001"/>
    <n v="43.518000000000001"/>
    <n v="43.518000000000001"/>
    <n v="43.518000000000001"/>
    <n v="3"/>
    <x v="0"/>
    <n v="0"/>
    <n v="0"/>
    <n v="67"/>
    <n v="7"/>
    <n v="0"/>
    <n v="254.25"/>
    <n v="121.88"/>
    <m/>
    <n v="273.31254322301049"/>
    <n v="203.87410356226556"/>
    <n v="0"/>
    <n v="11064.451500000001"/>
    <n v="5303.9738399999997"/>
    <n v="0"/>
    <n v="11894.015255978971"/>
    <n v="8872.1932388226724"/>
  </r>
  <r>
    <s v="Regular"/>
    <x v="4"/>
    <x v="2"/>
    <x v="6"/>
    <x v="7"/>
    <x v="0"/>
    <x v="0"/>
    <x v="1"/>
    <x v="6"/>
    <n v="0"/>
    <n v="0"/>
    <n v="46.963999999999999"/>
    <n v="46.963999999999999"/>
    <n v="46.963999999999999"/>
    <n v="46.963999999999999"/>
    <n v="3"/>
    <x v="0"/>
    <n v="0"/>
    <n v="0"/>
    <n v="67"/>
    <n v="7"/>
    <n v="0"/>
    <n v="254.25"/>
    <n v="121.88"/>
    <m/>
    <n v="273.31254322301049"/>
    <n v="203.87410356226556"/>
    <n v="0"/>
    <n v="11940.597"/>
    <n v="5723.9723199999999"/>
    <n v="0"/>
    <n v="12835.850279925464"/>
    <n v="9574.74339969824"/>
  </r>
  <r>
    <s v="Regular"/>
    <x v="4"/>
    <x v="2"/>
    <x v="6"/>
    <x v="7"/>
    <x v="0"/>
    <x v="0"/>
    <x v="1"/>
    <x v="7"/>
    <n v="0"/>
    <n v="0"/>
    <n v="42.676000000000002"/>
    <n v="42.676000000000002"/>
    <n v="42.676000000000002"/>
    <n v="42.676000000000002"/>
    <n v="3"/>
    <x v="0"/>
    <n v="0"/>
    <n v="0"/>
    <n v="67"/>
    <n v="7"/>
    <n v="0"/>
    <n v="254.25"/>
    <n v="121.88"/>
    <m/>
    <n v="273.31254322301049"/>
    <n v="203.87410356226556"/>
    <n v="0"/>
    <n v="10850.373"/>
    <n v="5201.35088"/>
    <n v="0"/>
    <n v="11663.886094585196"/>
    <n v="8700.5312436232452"/>
  </r>
  <r>
    <s v="Regular"/>
    <x v="4"/>
    <x v="2"/>
    <x v="6"/>
    <x v="7"/>
    <x v="0"/>
    <x v="0"/>
    <x v="1"/>
    <x v="8"/>
    <n v="0"/>
    <n v="0"/>
    <n v="46.963999999999999"/>
    <n v="46.963999999999999"/>
    <n v="46.963999999999999"/>
    <n v="46.963999999999999"/>
    <n v="3"/>
    <x v="0"/>
    <n v="0"/>
    <n v="0"/>
    <n v="67"/>
    <n v="7"/>
    <n v="0"/>
    <n v="254.25"/>
    <n v="121.88"/>
    <m/>
    <n v="273.31254322301049"/>
    <n v="203.87410356226556"/>
    <n v="0"/>
    <n v="11940.597"/>
    <n v="5723.9723199999999"/>
    <n v="0"/>
    <n v="12835.850279925464"/>
    <n v="9574.74339969824"/>
  </r>
  <r>
    <s v="Regular"/>
    <x v="4"/>
    <x v="2"/>
    <x v="6"/>
    <x v="7"/>
    <x v="0"/>
    <x v="0"/>
    <x v="1"/>
    <x v="9"/>
    <n v="0"/>
    <n v="0"/>
    <n v="45.448"/>
    <n v="45.448"/>
    <n v="45.448"/>
    <n v="45.448"/>
    <n v="3"/>
    <x v="0"/>
    <n v="0"/>
    <n v="0"/>
    <n v="67"/>
    <n v="7"/>
    <n v="0"/>
    <n v="254.25"/>
    <n v="121.88"/>
    <m/>
    <n v="273.31254322301049"/>
    <n v="203.87410356226556"/>
    <n v="0"/>
    <n v="11555.154"/>
    <n v="5539.2022399999996"/>
    <n v="0"/>
    <n v="12421.508464399381"/>
    <n v="9265.6702586978445"/>
  </r>
  <r>
    <s v="Regular"/>
    <x v="4"/>
    <x v="2"/>
    <x v="6"/>
    <x v="7"/>
    <x v="0"/>
    <x v="0"/>
    <x v="1"/>
    <x v="10"/>
    <n v="0"/>
    <n v="0"/>
    <n v="46.963999999999999"/>
    <n v="46.963999999999999"/>
    <n v="46.963999999999999"/>
    <n v="46.963999999999999"/>
    <n v="3"/>
    <x v="0"/>
    <n v="0"/>
    <n v="0"/>
    <n v="67"/>
    <n v="7"/>
    <n v="0"/>
    <n v="254.25"/>
    <n v="121.88"/>
    <m/>
    <n v="273.31254322301049"/>
    <n v="203.87410356226556"/>
    <n v="0"/>
    <n v="11940.597"/>
    <n v="5723.9723199999999"/>
    <n v="0"/>
    <n v="12835.850279925464"/>
    <n v="9574.74339969824"/>
  </r>
  <r>
    <s v="Regular"/>
    <x v="4"/>
    <x v="2"/>
    <x v="6"/>
    <x v="7"/>
    <x v="0"/>
    <x v="0"/>
    <x v="1"/>
    <x v="11"/>
    <n v="0"/>
    <n v="0"/>
    <n v="46.963999999999999"/>
    <n v="46.963999999999999"/>
    <n v="46.963999999999999"/>
    <n v="46.963999999999999"/>
    <n v="3"/>
    <x v="0"/>
    <n v="0"/>
    <n v="0"/>
    <n v="67"/>
    <n v="7"/>
    <n v="0"/>
    <n v="254.25"/>
    <n v="121.88"/>
    <m/>
    <n v="273.31254322301049"/>
    <n v="203.87410356226556"/>
    <n v="0"/>
    <n v="11940.597"/>
    <n v="5723.9723199999999"/>
    <n v="0"/>
    <n v="12835.850279925464"/>
    <n v="9574.743399698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s v="Regular"/>
    <x v="0"/>
    <x v="0"/>
    <x v="0"/>
    <x v="0"/>
    <x v="0"/>
    <x v="0"/>
    <x v="0"/>
    <x v="0"/>
    <n v="0"/>
    <n v="0"/>
    <n v="794.00699999999995"/>
    <n v="794.00699999999995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755.34"/>
    <n v="755.34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779.74400000000003"/>
    <n v="779.74400000000003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868.61800000000005"/>
    <n v="868.61800000000005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868.58399999999995"/>
    <n v="868.58399999999995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5"/>
    <n v="0"/>
    <n v="0"/>
    <n v="819.54899999999998"/>
    <n v="819.54899999999998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6"/>
    <n v="0"/>
    <n v="0"/>
    <n v="830.31600000000003"/>
    <n v="830.31600000000003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7"/>
    <n v="0"/>
    <n v="0"/>
    <n v="790.26300000000003"/>
    <n v="790.26300000000003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8"/>
    <n v="0"/>
    <n v="0"/>
    <n v="822.077"/>
    <n v="822.077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9"/>
    <n v="0"/>
    <n v="0"/>
    <n v="778.07399999999996"/>
    <n v="778.07399999999996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10"/>
    <n v="0"/>
    <n v="0"/>
    <n v="897.19799999999998"/>
    <n v="897.19799999999998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0"/>
    <x v="11"/>
    <n v="0"/>
    <n v="0"/>
    <n v="874.66499999999996"/>
    <n v="874.66499999999996"/>
    <n v="0"/>
    <n v="0"/>
    <n v="0"/>
    <s v="LIVRE"/>
    <n v="0"/>
    <n v="0"/>
    <n v="40"/>
    <n v="0"/>
    <n v="0"/>
    <n v="93.48"/>
    <n v="0"/>
    <m/>
    <n v="130.67486733178526"/>
    <m/>
    <n v="0"/>
    <n v="0"/>
    <n v="0"/>
    <n v="0"/>
    <x v="0"/>
  </r>
  <r>
    <s v="Regular"/>
    <x v="0"/>
    <x v="0"/>
    <x v="0"/>
    <x v="0"/>
    <x v="0"/>
    <x v="0"/>
    <x v="1"/>
    <x v="0"/>
    <n v="2100"/>
    <n v="2100"/>
    <n v="0"/>
    <n v="0"/>
    <n v="0"/>
    <n v="0"/>
    <n v="1"/>
    <s v="LIVRE"/>
    <n v="0"/>
    <n v="47"/>
    <n v="0"/>
    <n v="0"/>
    <n v="29.84"/>
    <n v="0"/>
    <n v="0"/>
    <n v="32.209574164280724"/>
    <m/>
    <m/>
    <n v="0"/>
    <n v="0"/>
    <n v="0"/>
    <n v="0"/>
    <x v="0"/>
  </r>
  <r>
    <s v="Regular"/>
    <x v="0"/>
    <x v="0"/>
    <x v="0"/>
    <x v="0"/>
    <x v="0"/>
    <x v="0"/>
    <x v="1"/>
    <x v="1"/>
    <n v="2100"/>
    <n v="2100"/>
    <n v="0"/>
    <n v="0"/>
    <n v="0"/>
    <n v="0"/>
    <n v="1"/>
    <s v="LIVRE"/>
    <n v="0"/>
    <n v="47"/>
    <n v="0"/>
    <n v="0"/>
    <n v="29.84"/>
    <n v="0"/>
    <n v="0"/>
    <n v="32.209574164280724"/>
    <m/>
    <m/>
    <n v="0"/>
    <n v="0"/>
    <n v="0"/>
    <n v="0"/>
    <x v="0"/>
  </r>
  <r>
    <s v="Regular"/>
    <x v="0"/>
    <x v="0"/>
    <x v="0"/>
    <x v="0"/>
    <x v="0"/>
    <x v="0"/>
    <x v="1"/>
    <x v="2"/>
    <n v="2100"/>
    <n v="2100"/>
    <n v="0"/>
    <n v="0"/>
    <n v="0"/>
    <n v="0"/>
    <n v="1"/>
    <s v="LIVRE"/>
    <n v="0"/>
    <n v="47"/>
    <n v="0"/>
    <n v="0"/>
    <n v="29.84"/>
    <n v="0"/>
    <n v="0"/>
    <n v="32.209574164280724"/>
    <m/>
    <m/>
    <n v="0"/>
    <n v="0"/>
    <n v="0"/>
    <n v="0"/>
    <x v="0"/>
  </r>
  <r>
    <s v="Regular"/>
    <x v="0"/>
    <x v="0"/>
    <x v="0"/>
    <x v="0"/>
    <x v="0"/>
    <x v="0"/>
    <x v="1"/>
    <x v="3"/>
    <n v="2100"/>
    <n v="2100"/>
    <n v="0"/>
    <n v="0"/>
    <n v="0"/>
    <n v="0"/>
    <n v="1"/>
    <s v="LIVRE"/>
    <n v="0"/>
    <n v="47"/>
    <n v="0"/>
    <n v="0"/>
    <n v="29.84"/>
    <n v="0"/>
    <n v="0"/>
    <n v="32.209574164280724"/>
    <m/>
    <m/>
    <n v="0"/>
    <n v="0"/>
    <n v="0"/>
    <n v="0"/>
    <x v="0"/>
  </r>
  <r>
    <s v="Regular"/>
    <x v="0"/>
    <x v="0"/>
    <x v="0"/>
    <x v="0"/>
    <x v="0"/>
    <x v="0"/>
    <x v="1"/>
    <x v="4"/>
    <n v="2100"/>
    <n v="2100"/>
    <n v="0"/>
    <n v="0"/>
    <n v="0"/>
    <n v="0"/>
    <n v="1"/>
    <s v="LIVRE"/>
    <n v="0"/>
    <n v="47"/>
    <n v="0"/>
    <n v="0"/>
    <n v="29.84"/>
    <n v="0"/>
    <n v="0"/>
    <n v="32.209574164280724"/>
    <m/>
    <m/>
    <n v="0"/>
    <n v="0"/>
    <n v="0"/>
    <n v="0"/>
    <x v="0"/>
  </r>
  <r>
    <s v="Regular"/>
    <x v="0"/>
    <x v="0"/>
    <x v="0"/>
    <x v="0"/>
    <x v="0"/>
    <x v="0"/>
    <x v="1"/>
    <x v="5"/>
    <n v="2100"/>
    <n v="1055.973387"/>
    <n v="0"/>
    <n v="0"/>
    <n v="0"/>
    <n v="0"/>
    <n v="1"/>
    <s v="LIVRE"/>
    <n v="0"/>
    <n v="47"/>
    <n v="0"/>
    <n v="0"/>
    <n v="29.84"/>
    <n v="0"/>
    <n v="0"/>
    <n v="32.209574164280724"/>
    <m/>
    <m/>
    <n v="31153.754131919999"/>
    <n v="0"/>
    <n v="33627.652620906309"/>
    <n v="0"/>
    <x v="0"/>
  </r>
  <r>
    <s v="Regular"/>
    <x v="0"/>
    <x v="0"/>
    <x v="0"/>
    <x v="0"/>
    <x v="0"/>
    <x v="0"/>
    <x v="1"/>
    <x v="6"/>
    <n v="2100"/>
    <n v="1054.466322"/>
    <n v="0"/>
    <n v="0"/>
    <n v="0"/>
    <n v="0"/>
    <n v="1"/>
    <s v="LIVRE"/>
    <n v="0"/>
    <n v="47"/>
    <n v="0"/>
    <n v="0"/>
    <n v="29.84"/>
    <n v="0"/>
    <n v="0"/>
    <n v="32.209574164280724"/>
    <m/>
    <m/>
    <n v="31198.724951520002"/>
    <n v="0"/>
    <n v="33676.194542794205"/>
    <n v="0"/>
    <x v="0"/>
  </r>
  <r>
    <s v="Regular"/>
    <x v="0"/>
    <x v="0"/>
    <x v="0"/>
    <x v="0"/>
    <x v="0"/>
    <x v="0"/>
    <x v="1"/>
    <x v="7"/>
    <n v="2100"/>
    <n v="1052.4575460000001"/>
    <n v="0"/>
    <n v="0"/>
    <n v="0"/>
    <n v="0"/>
    <n v="1"/>
    <s v="LIVRE"/>
    <n v="0"/>
    <n v="47"/>
    <n v="0"/>
    <n v="0"/>
    <n v="29.84"/>
    <n v="0"/>
    <n v="0"/>
    <n v="32.209574164280724"/>
    <m/>
    <m/>
    <n v="31258.666827359997"/>
    <n v="0"/>
    <n v="33740.896362345629"/>
    <n v="0"/>
    <x v="0"/>
  </r>
  <r>
    <s v="Regular"/>
    <x v="0"/>
    <x v="0"/>
    <x v="0"/>
    <x v="0"/>
    <x v="0"/>
    <x v="0"/>
    <x v="1"/>
    <x v="8"/>
    <n v="2100"/>
    <n v="1050.8292899999999"/>
    <n v="0"/>
    <n v="0"/>
    <n v="0"/>
    <n v="0"/>
    <n v="1"/>
    <s v="LIVRE"/>
    <n v="0"/>
    <n v="47"/>
    <n v="0"/>
    <n v="0"/>
    <n v="29.84"/>
    <n v="0"/>
    <n v="0"/>
    <n v="32.209574164280724"/>
    <m/>
    <m/>
    <n v="31307.253986400003"/>
    <n v="0"/>
    <n v="33793.341794736065"/>
    <n v="0"/>
    <x v="0"/>
  </r>
  <r>
    <s v="Regular"/>
    <x v="0"/>
    <x v="0"/>
    <x v="0"/>
    <x v="0"/>
    <x v="0"/>
    <x v="0"/>
    <x v="1"/>
    <x v="9"/>
    <n v="2100"/>
    <n v="1050.522354"/>
    <n v="0"/>
    <n v="0"/>
    <n v="0"/>
    <n v="0"/>
    <n v="1"/>
    <s v="LIVRE"/>
    <n v="0"/>
    <n v="47"/>
    <n v="0"/>
    <n v="0"/>
    <n v="29.84"/>
    <n v="0"/>
    <n v="0"/>
    <n v="32.209574164280724"/>
    <m/>
    <m/>
    <n v="31316.412956640001"/>
    <n v="0"/>
    <n v="33803.228072591752"/>
    <n v="0"/>
    <x v="0"/>
  </r>
  <r>
    <s v="Regular"/>
    <x v="0"/>
    <x v="0"/>
    <x v="0"/>
    <x v="0"/>
    <x v="0"/>
    <x v="0"/>
    <x v="1"/>
    <x v="10"/>
    <n v="2100"/>
    <n v="1050"/>
    <n v="0"/>
    <n v="0"/>
    <n v="0"/>
    <n v="0"/>
    <n v="1"/>
    <s v="LIVRE"/>
    <n v="0"/>
    <n v="47"/>
    <n v="0"/>
    <n v="0"/>
    <n v="29.84"/>
    <n v="0"/>
    <n v="0"/>
    <n v="32.209574164280724"/>
    <m/>
    <m/>
    <n v="31332"/>
    <n v="0"/>
    <n v="33820.052872494758"/>
    <n v="0"/>
    <x v="0"/>
  </r>
  <r>
    <s v="Regular"/>
    <x v="0"/>
    <x v="0"/>
    <x v="0"/>
    <x v="0"/>
    <x v="0"/>
    <x v="0"/>
    <x v="1"/>
    <x v="11"/>
    <n v="2100"/>
    <n v="1050"/>
    <n v="0"/>
    <n v="0"/>
    <n v="0"/>
    <n v="0"/>
    <n v="1"/>
    <s v="LIVRE"/>
    <n v="0"/>
    <n v="47"/>
    <n v="0"/>
    <n v="0"/>
    <n v="29.84"/>
    <n v="0"/>
    <n v="0"/>
    <n v="32.209574164280724"/>
    <m/>
    <m/>
    <n v="31332"/>
    <n v="0"/>
    <n v="33820.052872494758"/>
    <n v="0"/>
    <x v="0"/>
  </r>
  <r>
    <s v="Regular"/>
    <x v="0"/>
    <x v="0"/>
    <x v="0"/>
    <x v="0"/>
    <x v="0"/>
    <x v="0"/>
    <x v="2"/>
    <x v="0"/>
    <n v="0"/>
    <n v="0"/>
    <n v="86.004000000000005"/>
    <n v="86.004000000000005"/>
    <n v="0"/>
    <n v="0"/>
    <n v="0"/>
    <s v="LIVRE"/>
    <n v="0"/>
    <n v="0"/>
    <n v="35"/>
    <n v="0"/>
    <n v="0"/>
    <n v="2389.5"/>
    <n v="0"/>
    <m/>
    <n v="2540.3649699415037"/>
    <m/>
    <n v="0"/>
    <n v="0"/>
    <n v="0"/>
    <n v="0"/>
    <x v="0"/>
  </r>
  <r>
    <s v="Regular"/>
    <x v="0"/>
    <x v="0"/>
    <x v="0"/>
    <x v="0"/>
    <x v="0"/>
    <x v="0"/>
    <x v="2"/>
    <x v="1"/>
    <n v="0"/>
    <n v="0"/>
    <n v="72.034999999999997"/>
    <n v="72.034999999999997"/>
    <n v="0"/>
    <n v="0"/>
    <n v="0"/>
    <s v="LIVRE"/>
    <n v="0"/>
    <n v="0"/>
    <n v="35"/>
    <n v="0"/>
    <n v="0"/>
    <n v="2389.5"/>
    <n v="0"/>
    <m/>
    <n v="2540.3649699415037"/>
    <m/>
    <n v="0"/>
    <n v="0"/>
    <n v="0"/>
    <n v="0"/>
    <x v="0"/>
  </r>
  <r>
    <s v="Regular"/>
    <x v="0"/>
    <x v="0"/>
    <x v="0"/>
    <x v="0"/>
    <x v="0"/>
    <x v="0"/>
    <x v="2"/>
    <x v="2"/>
    <n v="0"/>
    <n v="0"/>
    <n v="80.399000000000001"/>
    <n v="80.399000000000001"/>
    <n v="0"/>
    <n v="0"/>
    <n v="0"/>
    <s v="LIVRE"/>
    <n v="0"/>
    <n v="0"/>
    <n v="35"/>
    <n v="0"/>
    <n v="0"/>
    <n v="2389.5"/>
    <n v="0"/>
    <m/>
    <n v="2540.3649699415037"/>
    <m/>
    <n v="0"/>
    <n v="0"/>
    <n v="0"/>
    <n v="0"/>
    <x v="0"/>
  </r>
  <r>
    <s v="Regular"/>
    <x v="0"/>
    <x v="0"/>
    <x v="0"/>
    <x v="0"/>
    <x v="0"/>
    <x v="0"/>
    <x v="2"/>
    <x v="3"/>
    <n v="0"/>
    <n v="0"/>
    <n v="92.685000000000002"/>
    <n v="92.685000000000002"/>
    <n v="0"/>
    <n v="0"/>
    <n v="0"/>
    <s v="LIVRE"/>
    <n v="0"/>
    <n v="0"/>
    <n v="35"/>
    <n v="0"/>
    <n v="0"/>
    <n v="2389.5"/>
    <n v="0"/>
    <m/>
    <n v="2540.3649699415037"/>
    <m/>
    <n v="0"/>
    <n v="0"/>
    <n v="0"/>
    <n v="0"/>
    <x v="0"/>
  </r>
  <r>
    <s v="Regular"/>
    <x v="0"/>
    <x v="0"/>
    <x v="0"/>
    <x v="0"/>
    <x v="0"/>
    <x v="0"/>
    <x v="2"/>
    <x v="4"/>
    <n v="0"/>
    <n v="0"/>
    <n v="83.393000000000001"/>
    <n v="83.393000000000001"/>
    <n v="0"/>
    <n v="0"/>
    <n v="0"/>
    <s v="LIVRE"/>
    <n v="0"/>
    <n v="0"/>
    <n v="35"/>
    <n v="0"/>
    <n v="0"/>
    <n v="2389.5"/>
    <n v="0"/>
    <m/>
    <n v="2540.3649699415037"/>
    <m/>
    <n v="0"/>
    <n v="0"/>
    <n v="0"/>
    <n v="0"/>
    <x v="0"/>
  </r>
  <r>
    <s v="Regular"/>
    <x v="0"/>
    <x v="0"/>
    <x v="0"/>
    <x v="0"/>
    <x v="0"/>
    <x v="0"/>
    <x v="2"/>
    <x v="5"/>
    <n v="0"/>
    <n v="0"/>
    <n v="78.411000000000001"/>
    <n v="40.95357679947"/>
    <n v="0"/>
    <n v="0"/>
    <n v="0"/>
    <s v="LIVRE"/>
    <n v="0"/>
    <n v="0"/>
    <n v="35"/>
    <n v="0"/>
    <n v="0"/>
    <n v="2389.5"/>
    <n v="0"/>
    <m/>
    <n v="2540.3649699415037"/>
    <m/>
    <n v="0"/>
    <n v="89504.512737666446"/>
    <n v="0"/>
    <n v="95155.525762900579"/>
    <x v="0"/>
  </r>
  <r>
    <s v="Regular"/>
    <x v="0"/>
    <x v="0"/>
    <x v="0"/>
    <x v="0"/>
    <x v="0"/>
    <x v="0"/>
    <x v="2"/>
    <x v="6"/>
    <n v="0"/>
    <n v="0"/>
    <n v="90.872"/>
    <n v="47.399215953679999"/>
    <n v="0"/>
    <n v="0"/>
    <n v="0"/>
    <s v="LIVRE"/>
    <n v="0"/>
    <n v="0"/>
    <n v="35"/>
    <n v="0"/>
    <n v="0"/>
    <n v="2389.5"/>
    <n v="0"/>
    <m/>
    <n v="2540.3649699415037"/>
    <m/>
    <n v="0"/>
    <n v="103878.21747868165"/>
    <n v="0"/>
    <n v="110436.73773710319"/>
    <x v="0"/>
  </r>
  <r>
    <s v="Regular"/>
    <x v="0"/>
    <x v="0"/>
    <x v="0"/>
    <x v="0"/>
    <x v="0"/>
    <x v="0"/>
    <x v="2"/>
    <x v="7"/>
    <n v="0"/>
    <n v="0"/>
    <n v="85.397999999999996"/>
    <n v="44.465462753879997"/>
    <n v="0"/>
    <n v="0"/>
    <n v="0"/>
    <s v="LIVRE"/>
    <n v="0"/>
    <n v="0"/>
    <n v="35"/>
    <n v="0"/>
    <n v="0"/>
    <n v="2389.5"/>
    <n v="0"/>
    <m/>
    <n v="2540.3649699415037"/>
    <m/>
    <n v="0"/>
    <n v="97808.297749603735"/>
    <n v="0"/>
    <n v="103983.5837508691"/>
    <x v="0"/>
  </r>
  <r>
    <s v="Regular"/>
    <x v="0"/>
    <x v="0"/>
    <x v="0"/>
    <x v="0"/>
    <x v="0"/>
    <x v="0"/>
    <x v="2"/>
    <x v="8"/>
    <n v="0"/>
    <n v="0"/>
    <n v="85.915000000000006"/>
    <n v="44.670605579099998"/>
    <n v="0"/>
    <n v="0"/>
    <n v="0"/>
    <s v="LIVRE"/>
    <n v="0"/>
    <n v="0"/>
    <n v="35"/>
    <n v="0"/>
    <n v="0"/>
    <n v="2389.5"/>
    <n v="0"/>
    <m/>
    <n v="2540.3649699415037"/>
    <m/>
    <n v="0"/>
    <n v="98553.48046874057"/>
    <n v="0"/>
    <n v="104775.81479330517"/>
    <x v="0"/>
  </r>
  <r>
    <s v="Regular"/>
    <x v="0"/>
    <x v="0"/>
    <x v="0"/>
    <x v="0"/>
    <x v="0"/>
    <x v="0"/>
    <x v="2"/>
    <x v="9"/>
    <n v="0"/>
    <n v="0"/>
    <n v="86.504000000000005"/>
    <n v="44.964743733360002"/>
    <n v="0"/>
    <n v="0"/>
    <n v="0"/>
    <s v="LIVRE"/>
    <n v="0"/>
    <n v="0"/>
    <n v="35"/>
    <n v="0"/>
    <n v="0"/>
    <n v="2389.5"/>
    <n v="0"/>
    <m/>
    <n v="2540.3649699415037"/>
    <m/>
    <n v="0"/>
    <n v="99258.052849136293"/>
    <n v="0"/>
    <n v="105524.87149719535"/>
    <x v="0"/>
  </r>
  <r>
    <s v="Regular"/>
    <x v="0"/>
    <x v="0"/>
    <x v="0"/>
    <x v="0"/>
    <x v="0"/>
    <x v="0"/>
    <x v="2"/>
    <x v="10"/>
    <n v="0"/>
    <n v="0"/>
    <n v="89.667000000000002"/>
    <n v="44.838360848070003"/>
    <n v="0"/>
    <n v="0"/>
    <n v="0"/>
    <s v="LIVRE"/>
    <n v="0"/>
    <n v="0"/>
    <n v="35"/>
    <n v="0"/>
    <n v="0"/>
    <n v="2389.5"/>
    <n v="0"/>
    <m/>
    <n v="2540.3649699415037"/>
    <m/>
    <n v="0"/>
    <n v="107118.03325353673"/>
    <n v="0"/>
    <n v="113881.10455171116"/>
    <x v="0"/>
  </r>
  <r>
    <s v="Regular"/>
    <x v="0"/>
    <x v="0"/>
    <x v="0"/>
    <x v="0"/>
    <x v="0"/>
    <x v="0"/>
    <x v="2"/>
    <x v="11"/>
    <n v="0"/>
    <n v="0"/>
    <n v="92.382999999999996"/>
    <n v="47.998565062140003"/>
    <n v="0"/>
    <n v="0"/>
    <n v="0"/>
    <s v="LIVRE"/>
    <n v="0"/>
    <n v="0"/>
    <n v="35"/>
    <n v="0"/>
    <n v="0"/>
    <n v="2389.5"/>
    <n v="0"/>
    <m/>
    <n v="2540.3649699415037"/>
    <m/>
    <n v="0"/>
    <n v="106056.60728401646"/>
    <n v="0"/>
    <n v="112752.66372678733"/>
    <x v="0"/>
  </r>
  <r>
    <s v="Regular"/>
    <x v="0"/>
    <x v="0"/>
    <x v="1"/>
    <x v="1"/>
    <x v="1"/>
    <x v="0"/>
    <x v="0"/>
    <x v="0"/>
    <n v="0"/>
    <n v="0"/>
    <n v="215.23599999999999"/>
    <n v="202.32184000000001"/>
    <n v="215.23599999999999"/>
    <n v="202.32184000000001"/>
    <n v="0"/>
    <s v="CATIVO"/>
    <n v="0"/>
    <n v="0"/>
    <n v="40"/>
    <n v="65"/>
    <n v="0"/>
    <n v="93.48"/>
    <n v="221.6"/>
    <m/>
    <n v="130.67486733178526"/>
    <n v="370.68018829502824"/>
    <n v="0"/>
    <n v="4068.9935327999938"/>
    <n v="0"/>
    <n v="6474.5794051735611"/>
    <x v="1"/>
  </r>
  <r>
    <s v="Regular"/>
    <x v="0"/>
    <x v="0"/>
    <x v="1"/>
    <x v="1"/>
    <x v="1"/>
    <x v="0"/>
    <x v="0"/>
    <x v="1"/>
    <n v="0"/>
    <n v="0"/>
    <n v="221.91499999999999"/>
    <n v="208.6001"/>
    <n v="221.91499999999999"/>
    <n v="208.6001"/>
    <n v="0"/>
    <s v="CATIVO"/>
    <n v="0"/>
    <n v="0"/>
    <n v="40"/>
    <n v="65"/>
    <n v="0"/>
    <n v="93.48"/>
    <n v="221.6"/>
    <m/>
    <n v="130.67486733178526"/>
    <n v="370.68018829502824"/>
    <n v="0"/>
    <n v="4195.2586919999976"/>
    <n v="0"/>
    <n v="6675.4924301654564"/>
    <x v="1"/>
  </r>
  <r>
    <s v="Regular"/>
    <x v="0"/>
    <x v="0"/>
    <x v="1"/>
    <x v="1"/>
    <x v="1"/>
    <x v="0"/>
    <x v="0"/>
    <x v="2"/>
    <n v="0"/>
    <n v="0"/>
    <n v="214.208"/>
    <n v="201.35552000000001"/>
    <n v="214.208"/>
    <n v="201.35552000000001"/>
    <n v="0"/>
    <s v="CATIVO"/>
    <n v="0"/>
    <n v="0"/>
    <n v="40"/>
    <n v="65"/>
    <n v="0"/>
    <n v="93.48"/>
    <n v="221.6"/>
    <m/>
    <n v="130.67486733178526"/>
    <n v="370.68018829502824"/>
    <n v="0"/>
    <n v="4049.5593983999952"/>
    <n v="0"/>
    <n v="6443.655825342501"/>
    <x v="1"/>
  </r>
  <r>
    <s v="Regular"/>
    <x v="0"/>
    <x v="0"/>
    <x v="1"/>
    <x v="1"/>
    <x v="1"/>
    <x v="0"/>
    <x v="0"/>
    <x v="3"/>
    <n v="0"/>
    <n v="0"/>
    <n v="220.203"/>
    <n v="206.99082000000001"/>
    <n v="220.203"/>
    <n v="206.99082000000001"/>
    <n v="0"/>
    <s v="CATIVO"/>
    <n v="0"/>
    <n v="0"/>
    <n v="40"/>
    <n v="65"/>
    <n v="0"/>
    <n v="93.48"/>
    <n v="221.6"/>
    <m/>
    <n v="130.67486733178526"/>
    <n v="370.68018829502824"/>
    <n v="0"/>
    <n v="4162.8936743999966"/>
    <n v="0"/>
    <n v="6623.993238851468"/>
    <x v="1"/>
  </r>
  <r>
    <s v="Regular"/>
    <x v="0"/>
    <x v="0"/>
    <x v="1"/>
    <x v="1"/>
    <x v="1"/>
    <x v="0"/>
    <x v="0"/>
    <x v="4"/>
    <n v="0"/>
    <n v="0"/>
    <n v="200.84200000000001"/>
    <n v="188.79148000000001"/>
    <n v="200.84200000000001"/>
    <n v="188.79148000000001"/>
    <n v="0"/>
    <s v="CATIVO"/>
    <n v="0"/>
    <n v="0"/>
    <n v="40"/>
    <n v="65"/>
    <n v="0"/>
    <n v="93.48"/>
    <n v="221.6"/>
    <m/>
    <n v="130.67486733178526"/>
    <n v="370.68018829502824"/>
    <n v="0"/>
    <n v="3796.8778416000018"/>
    <n v="0"/>
    <n v="6041.5891249320312"/>
    <x v="1"/>
  </r>
  <r>
    <s v="Regular"/>
    <x v="0"/>
    <x v="0"/>
    <x v="1"/>
    <x v="1"/>
    <x v="1"/>
    <x v="0"/>
    <x v="0"/>
    <x v="5"/>
    <n v="0"/>
    <n v="0"/>
    <n v="193.44"/>
    <n v="181.83359999999999"/>
    <n v="193.44"/>
    <n v="181.83359999999999"/>
    <n v="0"/>
    <s v="CATIVO"/>
    <n v="0"/>
    <n v="0"/>
    <n v="40"/>
    <n v="65"/>
    <n v="0"/>
    <n v="93.48"/>
    <n v="221.6"/>
    <m/>
    <n v="130.67486733178526"/>
    <n v="370.68018829502824"/>
    <n v="0"/>
    <n v="3656.9445120000028"/>
    <n v="0"/>
    <n v="5818.9273176270517"/>
    <x v="1"/>
  </r>
  <r>
    <s v="Regular"/>
    <x v="0"/>
    <x v="0"/>
    <x v="1"/>
    <x v="1"/>
    <x v="1"/>
    <x v="0"/>
    <x v="0"/>
    <x v="6"/>
    <n v="0"/>
    <n v="0"/>
    <n v="190.35400000000001"/>
    <n v="178.93276"/>
    <n v="190.35400000000001"/>
    <n v="178.93276"/>
    <n v="0"/>
    <s v="CATIVO"/>
    <n v="0"/>
    <n v="0"/>
    <n v="40"/>
    <n v="65"/>
    <n v="0"/>
    <n v="93.48"/>
    <n v="221.6"/>
    <m/>
    <n v="130.67486733178526"/>
    <n v="370.68018829502824"/>
    <n v="0"/>
    <n v="3598.6042992000039"/>
    <n v="0"/>
    <n v="5726.096415527194"/>
    <x v="1"/>
  </r>
  <r>
    <s v="Regular"/>
    <x v="0"/>
    <x v="0"/>
    <x v="1"/>
    <x v="1"/>
    <x v="1"/>
    <x v="0"/>
    <x v="0"/>
    <x v="7"/>
    <n v="0"/>
    <n v="0"/>
    <n v="187.297"/>
    <n v="176.05918"/>
    <n v="187.297"/>
    <n v="176.05918"/>
    <n v="0"/>
    <s v="CATIVO"/>
    <n v="0"/>
    <n v="0"/>
    <n v="40"/>
    <n v="65"/>
    <n v="0"/>
    <n v="93.48"/>
    <n v="221.6"/>
    <m/>
    <n v="130.67486733178526"/>
    <n v="370.68018829502824"/>
    <n v="0"/>
    <n v="3540.8123255999999"/>
    <n v="0"/>
    <n v="5634.1378712241167"/>
    <x v="1"/>
  </r>
  <r>
    <s v="Regular"/>
    <x v="0"/>
    <x v="0"/>
    <x v="1"/>
    <x v="1"/>
    <x v="1"/>
    <x v="0"/>
    <x v="0"/>
    <x v="8"/>
    <n v="0"/>
    <n v="0"/>
    <n v="206.12899999999999"/>
    <n v="193.76125999999999"/>
    <n v="206.12899999999999"/>
    <n v="193.76125999999999"/>
    <n v="0"/>
    <s v="CATIVO"/>
    <n v="0"/>
    <n v="0"/>
    <n v="40"/>
    <n v="65"/>
    <n v="0"/>
    <n v="93.48"/>
    <n v="221.6"/>
    <m/>
    <n v="130.67486733178526"/>
    <n v="370.68018829502824"/>
    <n v="0"/>
    <n v="3896.8275191999992"/>
    <n v="0"/>
    <n v="6200.6289756779661"/>
    <x v="1"/>
  </r>
  <r>
    <s v="Regular"/>
    <x v="0"/>
    <x v="0"/>
    <x v="1"/>
    <x v="1"/>
    <x v="1"/>
    <x v="0"/>
    <x v="0"/>
    <x v="9"/>
    <n v="0"/>
    <n v="0"/>
    <n v="198.251"/>
    <n v="186.35594"/>
    <n v="198.251"/>
    <n v="186.35594"/>
    <n v="0"/>
    <s v="CATIVO"/>
    <n v="0"/>
    <n v="0"/>
    <n v="40"/>
    <n v="65"/>
    <n v="0"/>
    <n v="93.48"/>
    <n v="221.6"/>
    <m/>
    <n v="130.67486733178526"/>
    <n v="370.68018829502824"/>
    <n v="0"/>
    <n v="3747.8955048000007"/>
    <n v="0"/>
    <n v="5963.6484679842852"/>
    <x v="1"/>
  </r>
  <r>
    <s v="Regular"/>
    <x v="0"/>
    <x v="0"/>
    <x v="1"/>
    <x v="1"/>
    <x v="1"/>
    <x v="0"/>
    <x v="0"/>
    <x v="10"/>
    <n v="0"/>
    <n v="0"/>
    <n v="215.82400000000001"/>
    <n v="202.87456"/>
    <n v="215.82400000000001"/>
    <n v="202.87456"/>
    <n v="0"/>
    <s v="CATIVO"/>
    <n v="0"/>
    <n v="0"/>
    <n v="40"/>
    <n v="65"/>
    <n v="0"/>
    <n v="93.48"/>
    <n v="221.6"/>
    <m/>
    <n v="130.67486733178526"/>
    <n v="370.68018829502824"/>
    <n v="0"/>
    <n v="4080.1095552000033"/>
    <n v="0"/>
    <n v="6492.2672115360892"/>
    <x v="1"/>
  </r>
  <r>
    <s v="Regular"/>
    <x v="0"/>
    <x v="0"/>
    <x v="1"/>
    <x v="1"/>
    <x v="1"/>
    <x v="0"/>
    <x v="0"/>
    <x v="11"/>
    <n v="0"/>
    <n v="0"/>
    <n v="211.61"/>
    <n v="198.9134"/>
    <n v="211.61"/>
    <n v="198.9134"/>
    <n v="0"/>
    <s v="CATIVO"/>
    <n v="0"/>
    <n v="0"/>
    <n v="40"/>
    <n v="65"/>
    <n v="0"/>
    <n v="93.48"/>
    <n v="221.6"/>
    <m/>
    <n v="130.67486733178526"/>
    <n v="370.68018829502824"/>
    <n v="0"/>
    <n v="4000.4447280000059"/>
    <n v="0"/>
    <n v="6365.5045992714095"/>
    <x v="1"/>
  </r>
  <r>
    <s v="Regular"/>
    <x v="0"/>
    <x v="0"/>
    <x v="1"/>
    <x v="1"/>
    <x v="1"/>
    <x v="0"/>
    <x v="1"/>
    <x v="0"/>
    <n v="906"/>
    <n v="770.1"/>
    <n v="0"/>
    <n v="0"/>
    <n v="0"/>
    <n v="0"/>
    <n v="3"/>
    <s v="CATIVO"/>
    <n v="0"/>
    <n v="47"/>
    <n v="0"/>
    <n v="0"/>
    <n v="29.84"/>
    <n v="0"/>
    <n v="0"/>
    <n v="32.209574164280724"/>
    <m/>
    <m/>
    <n v="4055.2559999999994"/>
    <n v="0"/>
    <n v="4377.2811289257497"/>
    <n v="0"/>
    <x v="1"/>
  </r>
  <r>
    <s v="Regular"/>
    <x v="0"/>
    <x v="0"/>
    <x v="1"/>
    <x v="1"/>
    <x v="1"/>
    <x v="0"/>
    <x v="1"/>
    <x v="1"/>
    <n v="906"/>
    <n v="770.1"/>
    <n v="0"/>
    <n v="0"/>
    <n v="0"/>
    <n v="0"/>
    <n v="3"/>
    <s v="CATIVO"/>
    <n v="0"/>
    <n v="47"/>
    <n v="0"/>
    <n v="0"/>
    <n v="29.84"/>
    <n v="0"/>
    <n v="0"/>
    <n v="32.209574164280724"/>
    <m/>
    <m/>
    <n v="4055.2559999999994"/>
    <n v="0"/>
    <n v="4377.2811289257497"/>
    <n v="0"/>
    <x v="1"/>
  </r>
  <r>
    <s v="Regular"/>
    <x v="0"/>
    <x v="0"/>
    <x v="1"/>
    <x v="1"/>
    <x v="1"/>
    <x v="0"/>
    <x v="1"/>
    <x v="2"/>
    <n v="906"/>
    <n v="770.1"/>
    <n v="0"/>
    <n v="0"/>
    <n v="0"/>
    <n v="0"/>
    <n v="3"/>
    <s v="CATIVO"/>
    <n v="0"/>
    <n v="47"/>
    <n v="0"/>
    <n v="0"/>
    <n v="29.84"/>
    <n v="0"/>
    <n v="0"/>
    <n v="32.209574164280724"/>
    <m/>
    <m/>
    <n v="4055.2559999999994"/>
    <n v="0"/>
    <n v="4377.2811289257497"/>
    <n v="0"/>
    <x v="1"/>
  </r>
  <r>
    <s v="Regular"/>
    <x v="0"/>
    <x v="0"/>
    <x v="1"/>
    <x v="1"/>
    <x v="1"/>
    <x v="0"/>
    <x v="1"/>
    <x v="3"/>
    <n v="906"/>
    <n v="770.1"/>
    <n v="0"/>
    <n v="0"/>
    <n v="0"/>
    <n v="0"/>
    <n v="3"/>
    <s v="CATIVO"/>
    <n v="0"/>
    <n v="47"/>
    <n v="0"/>
    <n v="0"/>
    <n v="29.84"/>
    <n v="0"/>
    <n v="0"/>
    <n v="32.209574164280724"/>
    <m/>
    <m/>
    <n v="4055.2559999999994"/>
    <n v="0"/>
    <n v="4377.2811289257497"/>
    <n v="0"/>
    <x v="1"/>
  </r>
  <r>
    <s v="Regular"/>
    <x v="0"/>
    <x v="0"/>
    <x v="1"/>
    <x v="1"/>
    <x v="1"/>
    <x v="0"/>
    <x v="1"/>
    <x v="4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1"/>
    <x v="5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1"/>
    <x v="6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1"/>
    <x v="7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1"/>
    <x v="8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1"/>
    <x v="9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1"/>
    <x v="10"/>
    <n v="557"/>
    <n v="473.45"/>
    <n v="0"/>
    <n v="0"/>
    <n v="0"/>
    <n v="0"/>
    <n v="2"/>
    <s v="CATIVO"/>
    <n v="0"/>
    <n v="47"/>
    <n v="0"/>
    <n v="0"/>
    <n v="29.84"/>
    <n v="0"/>
    <n v="0"/>
    <n v="32.209574164280724"/>
    <m/>
    <m/>
    <n v="2493.1320000000005"/>
    <n v="0"/>
    <n v="2691.1099214256546"/>
    <n v="0"/>
    <x v="1"/>
  </r>
  <r>
    <s v="Regular"/>
    <x v="0"/>
    <x v="0"/>
    <x v="1"/>
    <x v="1"/>
    <x v="1"/>
    <x v="0"/>
    <x v="1"/>
    <x v="11"/>
    <n v="556"/>
    <n v="472.59999999999997"/>
    <n v="0"/>
    <n v="0"/>
    <n v="0"/>
    <n v="0"/>
    <n v="2"/>
    <s v="CATIVO"/>
    <n v="0"/>
    <n v="47"/>
    <n v="0"/>
    <n v="0"/>
    <n v="29.84"/>
    <n v="0"/>
    <n v="0"/>
    <n v="32.209574164280724"/>
    <m/>
    <m/>
    <n v="2488.6560000000009"/>
    <n v="0"/>
    <n v="2686.2784853010135"/>
    <n v="0"/>
    <x v="1"/>
  </r>
  <r>
    <s v="Regular"/>
    <x v="0"/>
    <x v="0"/>
    <x v="1"/>
    <x v="1"/>
    <x v="1"/>
    <x v="0"/>
    <x v="2"/>
    <x v="0"/>
    <n v="0"/>
    <n v="0"/>
    <n v="21.111000000000001"/>
    <n v="19.844339999999999"/>
    <n v="21.111000000000001"/>
    <n v="19.844339999999999"/>
    <n v="0"/>
    <s v="CATIVO"/>
    <n v="0"/>
    <n v="0"/>
    <n v="35"/>
    <n v="79"/>
    <n v="0"/>
    <n v="2389.5"/>
    <n v="221.6"/>
    <m/>
    <n v="2540.3649699415037"/>
    <n v="370.68018829502824"/>
    <n v="0"/>
    <n v="3307.3759260000043"/>
    <n v="0"/>
    <n v="3687.3044601318907"/>
    <x v="1"/>
  </r>
  <r>
    <s v="Regular"/>
    <x v="0"/>
    <x v="0"/>
    <x v="1"/>
    <x v="1"/>
    <x v="1"/>
    <x v="0"/>
    <x v="2"/>
    <x v="1"/>
    <n v="0"/>
    <n v="0"/>
    <n v="19.920999999999999"/>
    <n v="18.725739999999998"/>
    <n v="19.920999999999999"/>
    <n v="18.725739999999998"/>
    <n v="0"/>
    <s v="CATIVO"/>
    <n v="0"/>
    <n v="0"/>
    <n v="35"/>
    <n v="79"/>
    <n v="0"/>
    <n v="2389.5"/>
    <n v="221.6"/>
    <m/>
    <n v="2540.3649699415037"/>
    <n v="370.68018829502824"/>
    <n v="0"/>
    <n v="3120.9433860000031"/>
    <n v="0"/>
    <n v="3479.4558358337999"/>
    <x v="1"/>
  </r>
  <r>
    <s v="Regular"/>
    <x v="0"/>
    <x v="0"/>
    <x v="1"/>
    <x v="1"/>
    <x v="1"/>
    <x v="0"/>
    <x v="2"/>
    <x v="2"/>
    <n v="0"/>
    <n v="0"/>
    <n v="19.634"/>
    <n v="18.455960000000001"/>
    <n v="19.634"/>
    <n v="18.455960000000001"/>
    <n v="0"/>
    <s v="CATIVO"/>
    <n v="0"/>
    <n v="0"/>
    <n v="35"/>
    <n v="79"/>
    <n v="0"/>
    <n v="2389.5"/>
    <n v="221.6"/>
    <m/>
    <n v="2540.3649699415037"/>
    <n v="370.68018829502824"/>
    <n v="0"/>
    <n v="3075.9802439999985"/>
    <n v="0"/>
    <n v="3429.3276382089621"/>
    <x v="1"/>
  </r>
  <r>
    <s v="Regular"/>
    <x v="0"/>
    <x v="0"/>
    <x v="1"/>
    <x v="1"/>
    <x v="1"/>
    <x v="0"/>
    <x v="2"/>
    <x v="3"/>
    <n v="0"/>
    <n v="0"/>
    <n v="22.725999999999999"/>
    <n v="21.362439999999999"/>
    <n v="22.725999999999999"/>
    <n v="21.362439999999999"/>
    <n v="0"/>
    <s v="CATIVO"/>
    <n v="0"/>
    <n v="0"/>
    <n v="35"/>
    <n v="79"/>
    <n v="0"/>
    <n v="2389.5"/>
    <n v="221.6"/>
    <m/>
    <n v="2540.3649699415037"/>
    <n v="370.68018829502824"/>
    <n v="0"/>
    <n v="3560.3915159999988"/>
    <n v="0"/>
    <n v="3969.3847359650044"/>
    <x v="1"/>
  </r>
  <r>
    <s v="Regular"/>
    <x v="0"/>
    <x v="0"/>
    <x v="1"/>
    <x v="1"/>
    <x v="1"/>
    <x v="0"/>
    <x v="2"/>
    <x v="4"/>
    <n v="0"/>
    <n v="0"/>
    <n v="19.664000000000001"/>
    <n v="18.484159999999999"/>
    <n v="19.664000000000001"/>
    <n v="18.484159999999999"/>
    <n v="0"/>
    <s v="CATIVO"/>
    <n v="0"/>
    <n v="0"/>
    <n v="35"/>
    <n v="79"/>
    <n v="0"/>
    <n v="2389.5"/>
    <n v="221.6"/>
    <m/>
    <n v="2540.3649699415037"/>
    <n v="370.68018829502824"/>
    <n v="0"/>
    <n v="3080.6802240000061"/>
    <n v="0"/>
    <n v="3434.5675194937962"/>
    <x v="1"/>
  </r>
  <r>
    <s v="Regular"/>
    <x v="0"/>
    <x v="0"/>
    <x v="1"/>
    <x v="1"/>
    <x v="1"/>
    <x v="0"/>
    <x v="2"/>
    <x v="5"/>
    <n v="0"/>
    <n v="0"/>
    <n v="18.574000000000002"/>
    <n v="17.45956"/>
    <n v="18.574000000000002"/>
    <n v="17.45956"/>
    <n v="0"/>
    <s v="CATIVO"/>
    <n v="0"/>
    <n v="0"/>
    <n v="35"/>
    <n v="79"/>
    <n v="0"/>
    <n v="2389.5"/>
    <n v="221.6"/>
    <m/>
    <n v="2540.3649699415037"/>
    <n v="370.68018829502824"/>
    <n v="0"/>
    <n v="2909.914284000005"/>
    <n v="0"/>
    <n v="3244.185166145126"/>
    <x v="1"/>
  </r>
  <r>
    <s v="Regular"/>
    <x v="0"/>
    <x v="0"/>
    <x v="1"/>
    <x v="1"/>
    <x v="1"/>
    <x v="0"/>
    <x v="2"/>
    <x v="6"/>
    <n v="0"/>
    <n v="0"/>
    <n v="20.591999999999999"/>
    <n v="19.356480000000001"/>
    <n v="20.591999999999999"/>
    <n v="19.356480000000001"/>
    <n v="0"/>
    <s v="CATIVO"/>
    <n v="0"/>
    <n v="0"/>
    <n v="35"/>
    <n v="79"/>
    <n v="0"/>
    <n v="2389.5"/>
    <n v="221.6"/>
    <m/>
    <n v="2540.3649699415037"/>
    <n v="370.68018829502824"/>
    <n v="0"/>
    <n v="3226.0662719999937"/>
    <n v="0"/>
    <n v="3596.6545139043928"/>
    <x v="1"/>
  </r>
  <r>
    <s v="Regular"/>
    <x v="0"/>
    <x v="0"/>
    <x v="1"/>
    <x v="1"/>
    <x v="1"/>
    <x v="0"/>
    <x v="2"/>
    <x v="7"/>
    <n v="0"/>
    <n v="0"/>
    <n v="18.384"/>
    <n v="17.28096"/>
    <n v="18.384"/>
    <n v="17.28096"/>
    <n v="0"/>
    <s v="CATIVO"/>
    <n v="0"/>
    <n v="0"/>
    <n v="35"/>
    <n v="79"/>
    <n v="0"/>
    <n v="2389.5"/>
    <n v="221.6"/>
    <m/>
    <n v="2540.3649699415037"/>
    <n v="370.68018829502824"/>
    <n v="0"/>
    <n v="2880.1477440000003"/>
    <n v="0"/>
    <n v="3210.999251341224"/>
    <x v="1"/>
  </r>
  <r>
    <s v="Regular"/>
    <x v="0"/>
    <x v="0"/>
    <x v="1"/>
    <x v="1"/>
    <x v="1"/>
    <x v="0"/>
    <x v="2"/>
    <x v="8"/>
    <n v="0"/>
    <n v="0"/>
    <n v="20.672000000000001"/>
    <n v="19.43168"/>
    <n v="20.672000000000001"/>
    <n v="19.43168"/>
    <n v="0"/>
    <s v="CATIVO"/>
    <n v="0"/>
    <n v="0"/>
    <n v="35"/>
    <n v="79"/>
    <n v="0"/>
    <n v="2389.5"/>
    <n v="221.6"/>
    <m/>
    <n v="2540.3649699415037"/>
    <n v="370.68018829502824"/>
    <n v="0"/>
    <n v="3238.5995520000015"/>
    <n v="0"/>
    <n v="3610.6275306639368"/>
    <x v="1"/>
  </r>
  <r>
    <s v="Regular"/>
    <x v="0"/>
    <x v="0"/>
    <x v="1"/>
    <x v="1"/>
    <x v="1"/>
    <x v="0"/>
    <x v="2"/>
    <x v="9"/>
    <n v="0"/>
    <n v="0"/>
    <n v="20.959"/>
    <n v="19.701460000000001"/>
    <n v="20.959"/>
    <n v="19.701460000000001"/>
    <n v="0"/>
    <s v="CATIVO"/>
    <n v="0"/>
    <n v="0"/>
    <n v="35"/>
    <n v="79"/>
    <n v="0"/>
    <n v="2389.5"/>
    <n v="221.6"/>
    <m/>
    <n v="2540.3649699415037"/>
    <n v="370.68018829502824"/>
    <n v="0"/>
    <n v="3283.5626939999966"/>
    <n v="0"/>
    <n v="3660.7557282887647"/>
    <x v="1"/>
  </r>
  <r>
    <s v="Regular"/>
    <x v="0"/>
    <x v="0"/>
    <x v="1"/>
    <x v="1"/>
    <x v="1"/>
    <x v="0"/>
    <x v="2"/>
    <x v="10"/>
    <n v="0"/>
    <n v="0"/>
    <n v="20.106999999999999"/>
    <n v="18.900580000000001"/>
    <n v="20.106999999999999"/>
    <n v="18.900580000000001"/>
    <n v="0"/>
    <s v="CATIVO"/>
    <n v="0"/>
    <n v="0"/>
    <n v="35"/>
    <n v="79"/>
    <n v="0"/>
    <n v="2389.5"/>
    <n v="221.6"/>
    <m/>
    <n v="2540.3649699415037"/>
    <n v="370.68018829502824"/>
    <n v="0"/>
    <n v="3150.0832619999946"/>
    <n v="0"/>
    <n v="3511.9430997997106"/>
    <x v="1"/>
  </r>
  <r>
    <s v="Regular"/>
    <x v="0"/>
    <x v="0"/>
    <x v="1"/>
    <x v="1"/>
    <x v="1"/>
    <x v="0"/>
    <x v="2"/>
    <x v="11"/>
    <n v="0"/>
    <n v="0"/>
    <n v="21.699000000000002"/>
    <n v="20.39706"/>
    <n v="21.699000000000002"/>
    <n v="20.39706"/>
    <n v="0"/>
    <s v="CATIVO"/>
    <n v="0"/>
    <n v="0"/>
    <n v="35"/>
    <n v="79"/>
    <n v="0"/>
    <n v="2389.5"/>
    <n v="221.6"/>
    <m/>
    <n v="2540.3649699415037"/>
    <n v="370.68018829502824"/>
    <n v="0"/>
    <n v="3399.4955340000051"/>
    <n v="0"/>
    <n v="3790.0061333144758"/>
    <x v="1"/>
  </r>
  <r>
    <s v="Regular"/>
    <x v="1"/>
    <x v="1"/>
    <x v="2"/>
    <x v="2"/>
    <x v="1"/>
    <x v="0"/>
    <x v="1"/>
    <x v="0"/>
    <n v="0"/>
    <n v="0"/>
    <n v="423.71499999999997"/>
    <n v="423.71499999999997"/>
    <n v="423.71499999999997"/>
    <n v="423.71499999999997"/>
    <n v="3253"/>
    <s v="CATIVO"/>
    <n v="0"/>
    <n v="0"/>
    <n v="26"/>
    <n v="57"/>
    <n v="0"/>
    <n v="462.27"/>
    <n v="221.6"/>
    <m/>
    <n v="496.93189676911004"/>
    <n v="370.68018829502824"/>
    <n v="0"/>
    <n v="0"/>
    <n v="0"/>
    <n v="0"/>
    <x v="2"/>
  </r>
  <r>
    <s v="Regular"/>
    <x v="1"/>
    <x v="1"/>
    <x v="2"/>
    <x v="3"/>
    <x v="1"/>
    <x v="0"/>
    <x v="1"/>
    <x v="0"/>
    <n v="0"/>
    <n v="0"/>
    <n v="3.63"/>
    <n v="3.63"/>
    <n v="3.63"/>
    <n v="3.63"/>
    <n v="0"/>
    <s v="CATIVO"/>
    <n v="0"/>
    <n v="0"/>
    <n v="31"/>
    <n v="78"/>
    <n v="0"/>
    <n v="128.82"/>
    <n v="77.56"/>
    <m/>
    <n v="127.27094738503071"/>
    <n v="129.73806590325987"/>
    <n v="0"/>
    <n v="1391.3426999999999"/>
    <n v="0"/>
    <n v="1732.6079052963478"/>
    <x v="3"/>
  </r>
  <r>
    <s v="Regular"/>
    <x v="1"/>
    <x v="1"/>
    <x v="2"/>
    <x v="3"/>
    <x v="1"/>
    <x v="0"/>
    <x v="1"/>
    <x v="1"/>
    <n v="0"/>
    <n v="0"/>
    <n v="3.63"/>
    <n v="3.63"/>
    <n v="3.63"/>
    <n v="3.63"/>
    <n v="0"/>
    <s v="CATIVO"/>
    <n v="0"/>
    <n v="0"/>
    <n v="31"/>
    <n v="78"/>
    <n v="0"/>
    <n v="128.82"/>
    <n v="77.56"/>
    <m/>
    <n v="127.27094738503071"/>
    <n v="129.73806590325987"/>
    <n v="0"/>
    <n v="1391.3426999999999"/>
    <n v="0"/>
    <n v="1732.6079052963478"/>
    <x v="3"/>
  </r>
  <r>
    <s v="Regular"/>
    <x v="1"/>
    <x v="1"/>
    <x v="2"/>
    <x v="3"/>
    <x v="1"/>
    <x v="0"/>
    <x v="1"/>
    <x v="2"/>
    <n v="0"/>
    <n v="0"/>
    <n v="3.6"/>
    <n v="3.6"/>
    <n v="3.6"/>
    <n v="3.6"/>
    <n v="0"/>
    <s v="CATIVO"/>
    <n v="0"/>
    <n v="0"/>
    <n v="31"/>
    <n v="78"/>
    <n v="0"/>
    <n v="128.82"/>
    <n v="77.56"/>
    <m/>
    <n v="127.27094738503071"/>
    <n v="129.73806590325987"/>
    <n v="0"/>
    <n v="1379.8439999999998"/>
    <n v="0"/>
    <n v="1718.2888316988574"/>
    <x v="3"/>
  </r>
  <r>
    <s v="Regular"/>
    <x v="1"/>
    <x v="1"/>
    <x v="2"/>
    <x v="3"/>
    <x v="1"/>
    <x v="0"/>
    <x v="1"/>
    <x v="3"/>
    <n v="0"/>
    <n v="0"/>
    <n v="3.66"/>
    <n v="3.66"/>
    <n v="3.66"/>
    <n v="3.66"/>
    <n v="0"/>
    <s v="CATIVO"/>
    <n v="0"/>
    <n v="0"/>
    <n v="31"/>
    <n v="78"/>
    <n v="0"/>
    <n v="128.82"/>
    <n v="77.56"/>
    <m/>
    <n v="127.27094738503071"/>
    <n v="129.73806590325987"/>
    <n v="0"/>
    <n v="1402.8414"/>
    <n v="0"/>
    <n v="1746.9269788938382"/>
    <x v="3"/>
  </r>
  <r>
    <s v="Regular"/>
    <x v="1"/>
    <x v="1"/>
    <x v="2"/>
    <x v="3"/>
    <x v="1"/>
    <x v="0"/>
    <x v="1"/>
    <x v="4"/>
    <n v="0"/>
    <n v="0"/>
    <n v="3.6"/>
    <n v="3.6"/>
    <n v="3.6"/>
    <n v="3.6"/>
    <n v="0"/>
    <s v="CATIVO"/>
    <n v="0"/>
    <n v="0"/>
    <n v="31"/>
    <n v="78"/>
    <n v="0"/>
    <n v="128.82"/>
    <n v="77.56"/>
    <m/>
    <n v="127.27094738503071"/>
    <n v="129.73806590325987"/>
    <n v="0"/>
    <n v="1379.8439999999998"/>
    <n v="0"/>
    <n v="1718.2888316988574"/>
    <x v="3"/>
  </r>
  <r>
    <s v="Regular"/>
    <x v="1"/>
    <x v="1"/>
    <x v="2"/>
    <x v="3"/>
    <x v="1"/>
    <x v="0"/>
    <x v="1"/>
    <x v="5"/>
    <n v="0"/>
    <n v="0"/>
    <n v="3.72"/>
    <n v="3.72"/>
    <n v="3.72"/>
    <n v="3.72"/>
    <n v="1"/>
    <s v="CATIVO"/>
    <n v="0"/>
    <n v="0"/>
    <n v="31"/>
    <n v="78"/>
    <n v="0"/>
    <n v="128.82"/>
    <n v="77.56"/>
    <m/>
    <n v="127.27094738503071"/>
    <n v="129.73806590325987"/>
    <n v="0"/>
    <n v="1425.8388"/>
    <n v="0"/>
    <n v="1775.5651260888192"/>
    <x v="3"/>
  </r>
  <r>
    <s v="Regular"/>
    <x v="1"/>
    <x v="1"/>
    <x v="2"/>
    <x v="3"/>
    <x v="1"/>
    <x v="0"/>
    <x v="1"/>
    <x v="6"/>
    <n v="0"/>
    <n v="0"/>
    <n v="3.74"/>
    <n v="3.74"/>
    <n v="3.74"/>
    <n v="3.74"/>
    <n v="2"/>
    <s v="CATIVO"/>
    <n v="0"/>
    <n v="0"/>
    <n v="31"/>
    <n v="78"/>
    <n v="0"/>
    <n v="128.82"/>
    <n v="77.56"/>
    <m/>
    <n v="127.27094738503071"/>
    <n v="129.73806590325987"/>
    <n v="0"/>
    <n v="1433.5046"/>
    <n v="0"/>
    <n v="1785.1111751538128"/>
    <x v="3"/>
  </r>
  <r>
    <s v="Regular"/>
    <x v="1"/>
    <x v="1"/>
    <x v="2"/>
    <x v="3"/>
    <x v="1"/>
    <x v="0"/>
    <x v="1"/>
    <x v="7"/>
    <n v="0"/>
    <n v="0"/>
    <n v="3.84"/>
    <n v="3.84"/>
    <n v="3.84"/>
    <n v="3.84"/>
    <n v="0"/>
    <s v="CATIVO"/>
    <n v="0"/>
    <n v="0"/>
    <n v="31"/>
    <n v="78"/>
    <n v="0"/>
    <n v="128.82"/>
    <n v="77.56"/>
    <m/>
    <n v="127.27094738503071"/>
    <n v="129.73806590325987"/>
    <n v="0"/>
    <n v="1471.8335999999997"/>
    <n v="0"/>
    <n v="1832.8414204787809"/>
    <x v="3"/>
  </r>
  <r>
    <s v="Regular"/>
    <x v="1"/>
    <x v="1"/>
    <x v="2"/>
    <x v="3"/>
    <x v="1"/>
    <x v="0"/>
    <x v="1"/>
    <x v="8"/>
    <n v="0"/>
    <n v="0"/>
    <n v="3.93"/>
    <n v="3.93"/>
    <n v="3.93"/>
    <n v="3.93"/>
    <n v="0"/>
    <s v="CATIVO"/>
    <n v="0"/>
    <n v="0"/>
    <n v="31"/>
    <n v="78"/>
    <n v="0"/>
    <n v="128.82"/>
    <n v="77.56"/>
    <m/>
    <n v="127.27094738503071"/>
    <n v="129.73806590325987"/>
    <n v="0"/>
    <n v="1506.3297"/>
    <n v="0"/>
    <n v="1875.7986412712526"/>
    <x v="3"/>
  </r>
  <r>
    <s v="Regular"/>
    <x v="1"/>
    <x v="1"/>
    <x v="2"/>
    <x v="3"/>
    <x v="1"/>
    <x v="0"/>
    <x v="1"/>
    <x v="9"/>
    <n v="0"/>
    <n v="0"/>
    <n v="7.44"/>
    <n v="7.44"/>
    <n v="7.44"/>
    <n v="7.44"/>
    <n v="3"/>
    <s v="CATIVO"/>
    <n v="0"/>
    <n v="0"/>
    <n v="31"/>
    <n v="78"/>
    <n v="0"/>
    <n v="128.82"/>
    <n v="77.56"/>
    <m/>
    <n v="127.27094738503071"/>
    <n v="129.73806590325987"/>
    <n v="0"/>
    <n v="2851.6776"/>
    <n v="0"/>
    <n v="3551.1302521776383"/>
    <x v="3"/>
  </r>
  <r>
    <s v="Refaturamento - Regular"/>
    <x v="1"/>
    <x v="1"/>
    <x v="2"/>
    <x v="3"/>
    <x v="1"/>
    <x v="0"/>
    <x v="1"/>
    <x v="9"/>
    <n v="0"/>
    <n v="0"/>
    <n v="0.06"/>
    <n v="0.06"/>
    <n v="0.06"/>
    <n v="0.06"/>
    <n v="0"/>
    <s v="CATIVO"/>
    <n v="0"/>
    <n v="0"/>
    <n v="31"/>
    <n v="78"/>
    <n v="0"/>
    <n v="128.82"/>
    <n v="77.56"/>
    <m/>
    <n v="127.27094738503071"/>
    <n v="129.73806590325987"/>
    <n v="0"/>
    <n v="22.997399999999995"/>
    <n v="0"/>
    <n v="28.638147194980952"/>
    <x v="3"/>
  </r>
  <r>
    <s v="Regular"/>
    <x v="1"/>
    <x v="1"/>
    <x v="2"/>
    <x v="3"/>
    <x v="1"/>
    <x v="0"/>
    <x v="1"/>
    <x v="10"/>
    <n v="0"/>
    <n v="0"/>
    <n v="7.4160000000000004"/>
    <n v="7.4160000000000004"/>
    <n v="7.4160000000000004"/>
    <n v="7.4160000000000004"/>
    <n v="11"/>
    <s v="CATIVO"/>
    <n v="0"/>
    <n v="0"/>
    <n v="31"/>
    <n v="78"/>
    <n v="0"/>
    <n v="128.82"/>
    <n v="77.56"/>
    <m/>
    <n v="127.27094738503071"/>
    <n v="129.73806590325987"/>
    <n v="0"/>
    <n v="2842.4786399999998"/>
    <n v="0"/>
    <n v="3539.6749932996463"/>
    <x v="3"/>
  </r>
  <r>
    <s v="Regular"/>
    <x v="1"/>
    <x v="1"/>
    <x v="2"/>
    <x v="3"/>
    <x v="1"/>
    <x v="0"/>
    <x v="1"/>
    <x v="11"/>
    <n v="0"/>
    <n v="0"/>
    <n v="5.55"/>
    <n v="5.55"/>
    <n v="5.55"/>
    <n v="5.55"/>
    <n v="3"/>
    <s v="CATIVO"/>
    <n v="0"/>
    <n v="0"/>
    <n v="31"/>
    <n v="78"/>
    <n v="0"/>
    <n v="128.82"/>
    <n v="77.56"/>
    <m/>
    <n v="127.27094738503071"/>
    <n v="129.73806590325987"/>
    <n v="0"/>
    <n v="2127.2594999999997"/>
    <n v="0"/>
    <n v="2649.028615535738"/>
    <x v="3"/>
  </r>
  <r>
    <s v="Regular"/>
    <x v="1"/>
    <x v="1"/>
    <x v="2"/>
    <x v="4"/>
    <x v="1"/>
    <x v="0"/>
    <x v="1"/>
    <x v="0"/>
    <n v="0"/>
    <n v="0"/>
    <n v="7.7220000000000004"/>
    <n v="7.7220000000000004"/>
    <n v="7.7220000000000004"/>
    <n v="7.7220000000000004"/>
    <n v="30"/>
    <s v="CATIVO"/>
    <n v="0"/>
    <n v="0"/>
    <n v="33"/>
    <n v="84"/>
    <n v="0"/>
    <n v="220.84"/>
    <n v="132.96"/>
    <m/>
    <n v="218.17876694576694"/>
    <n v="222.40811297701694"/>
    <n v="0"/>
    <n v="1821.3881399999996"/>
    <n v="0"/>
    <n v="2268.141257842492"/>
    <x v="3"/>
  </r>
  <r>
    <s v="Regular"/>
    <x v="1"/>
    <x v="1"/>
    <x v="2"/>
    <x v="4"/>
    <x v="1"/>
    <x v="0"/>
    <x v="1"/>
    <x v="1"/>
    <n v="0"/>
    <n v="0"/>
    <n v="7.4450000000000003"/>
    <n v="7.4450000000000003"/>
    <n v="7.4450000000000003"/>
    <n v="7.4450000000000003"/>
    <n v="39"/>
    <s v="CATIVO"/>
    <n v="0"/>
    <n v="0"/>
    <n v="33"/>
    <n v="84"/>
    <n v="0"/>
    <n v="220.84"/>
    <n v="132.96"/>
    <m/>
    <n v="218.17876694576694"/>
    <n v="222.40811297701694"/>
    <n v="0"/>
    <n v="1756.0521499999995"/>
    <n v="0"/>
    <n v="2186.7795473500846"/>
    <x v="3"/>
  </r>
  <r>
    <s v="Regular"/>
    <x v="1"/>
    <x v="1"/>
    <x v="2"/>
    <x v="4"/>
    <x v="1"/>
    <x v="0"/>
    <x v="1"/>
    <x v="2"/>
    <n v="0"/>
    <n v="0"/>
    <n v="7.48"/>
    <n v="7.48"/>
    <n v="7.48"/>
    <n v="7.48"/>
    <n v="32"/>
    <s v="CATIVO"/>
    <n v="0"/>
    <n v="0"/>
    <n v="33"/>
    <n v="84"/>
    <n v="0"/>
    <n v="220.84"/>
    <n v="132.96"/>
    <m/>
    <n v="218.17876694576694"/>
    <n v="222.40811297701694"/>
    <n v="0"/>
    <n v="1764.3075999999994"/>
    <n v="0"/>
    <n v="2197.0599078816163"/>
    <x v="3"/>
  </r>
  <r>
    <s v="Regular"/>
    <x v="1"/>
    <x v="1"/>
    <x v="2"/>
    <x v="4"/>
    <x v="1"/>
    <x v="0"/>
    <x v="1"/>
    <x v="3"/>
    <n v="0"/>
    <n v="0"/>
    <n v="7.7610000000000001"/>
    <n v="7.7610000000000001"/>
    <n v="7.7610000000000001"/>
    <n v="7.7610000000000001"/>
    <n v="27"/>
    <s v="CATIVO"/>
    <n v="0"/>
    <n v="0"/>
    <n v="33"/>
    <n v="84"/>
    <n v="0"/>
    <n v="220.84"/>
    <n v="132.96"/>
    <m/>
    <n v="218.17876694576694"/>
    <n v="222.40811297701694"/>
    <n v="0"/>
    <n v="1830.5870699999994"/>
    <n v="0"/>
    <n v="2279.5965167204845"/>
    <x v="3"/>
  </r>
  <r>
    <s v="Regular"/>
    <x v="1"/>
    <x v="1"/>
    <x v="2"/>
    <x v="4"/>
    <x v="1"/>
    <x v="0"/>
    <x v="1"/>
    <x v="4"/>
    <n v="0"/>
    <n v="0"/>
    <n v="7.7949999999999999"/>
    <n v="7.7949999999999999"/>
    <n v="7.7949999999999999"/>
    <n v="7.7949999999999999"/>
    <n v="20"/>
    <s v="CATIVO"/>
    <n v="0"/>
    <n v="0"/>
    <n v="33"/>
    <n v="84"/>
    <n v="0"/>
    <n v="220.84"/>
    <n v="132.96"/>
    <m/>
    <n v="218.17876694576694"/>
    <n v="222.40811297701694"/>
    <n v="0"/>
    <n v="1838.6066499999993"/>
    <n v="0"/>
    <n v="2289.5831526654006"/>
    <x v="3"/>
  </r>
  <r>
    <s v="Regular"/>
    <x v="1"/>
    <x v="1"/>
    <x v="2"/>
    <x v="4"/>
    <x v="1"/>
    <x v="0"/>
    <x v="1"/>
    <x v="5"/>
    <n v="0"/>
    <n v="0"/>
    <n v="8.0180000000000007"/>
    <n v="8.0180000000000007"/>
    <n v="8.0180000000000007"/>
    <n v="8.0180000000000007"/>
    <n v="24"/>
    <s v="CATIVO"/>
    <n v="0"/>
    <n v="0"/>
    <n v="33"/>
    <n v="84"/>
    <n v="0"/>
    <n v="220.84"/>
    <n v="132.96"/>
    <m/>
    <n v="218.17876694576694"/>
    <n v="222.40811297701694"/>
    <n v="0"/>
    <n v="1891.2056599999996"/>
    <n v="0"/>
    <n v="2355.0837354805881"/>
    <x v="3"/>
  </r>
  <r>
    <s v="Regular"/>
    <x v="1"/>
    <x v="1"/>
    <x v="2"/>
    <x v="4"/>
    <x v="1"/>
    <x v="0"/>
    <x v="1"/>
    <x v="6"/>
    <n v="0"/>
    <n v="0"/>
    <n v="8.0980000000000008"/>
    <n v="8.0980000000000008"/>
    <n v="8.0980000000000008"/>
    <n v="8.0980000000000008"/>
    <n v="20"/>
    <s v="CATIVO"/>
    <n v="0"/>
    <n v="0"/>
    <n v="33"/>
    <n v="84"/>
    <n v="0"/>
    <n v="220.84"/>
    <n v="132.96"/>
    <m/>
    <n v="218.17876694576694"/>
    <n v="222.40811297701694"/>
    <n v="0"/>
    <n v="1910.0752599999996"/>
    <n v="0"/>
    <n v="2378.5817024098033"/>
    <x v="3"/>
  </r>
  <r>
    <s v="Regular"/>
    <x v="1"/>
    <x v="1"/>
    <x v="2"/>
    <x v="4"/>
    <x v="1"/>
    <x v="0"/>
    <x v="1"/>
    <x v="7"/>
    <n v="0"/>
    <n v="0"/>
    <n v="8.4"/>
    <n v="8.4"/>
    <n v="8.4"/>
    <n v="8.4"/>
    <n v="23"/>
    <s v="CATIVO"/>
    <n v="0"/>
    <n v="0"/>
    <n v="33"/>
    <n v="84"/>
    <n v="0"/>
    <n v="220.84"/>
    <n v="132.96"/>
    <m/>
    <n v="218.17876694576694"/>
    <n v="222.40811297701694"/>
    <n v="0"/>
    <n v="1981.3079999999993"/>
    <n v="0"/>
    <n v="2467.2865275675904"/>
    <x v="3"/>
  </r>
  <r>
    <s v="Regular"/>
    <x v="1"/>
    <x v="1"/>
    <x v="2"/>
    <x v="4"/>
    <x v="1"/>
    <x v="0"/>
    <x v="1"/>
    <x v="8"/>
    <n v="0"/>
    <n v="0"/>
    <n v="8.14"/>
    <n v="8.14"/>
    <n v="8.14"/>
    <n v="8.14"/>
    <n v="35"/>
    <s v="CATIVO"/>
    <n v="0"/>
    <n v="0"/>
    <n v="33"/>
    <n v="84"/>
    <n v="0"/>
    <n v="220.84"/>
    <n v="132.96"/>
    <m/>
    <n v="218.17876694576694"/>
    <n v="222.40811297701694"/>
    <n v="0"/>
    <n v="1919.9817999999996"/>
    <n v="0"/>
    <n v="2390.918135047641"/>
    <x v="3"/>
  </r>
  <r>
    <s v="Regular"/>
    <x v="1"/>
    <x v="1"/>
    <x v="2"/>
    <x v="4"/>
    <x v="1"/>
    <x v="0"/>
    <x v="1"/>
    <x v="9"/>
    <n v="0"/>
    <n v="0"/>
    <n v="12.893000000000001"/>
    <n v="12.893000000000001"/>
    <n v="12.893000000000001"/>
    <n v="12.893000000000001"/>
    <n v="119"/>
    <s v="CATIVO"/>
    <n v="0"/>
    <n v="0"/>
    <n v="33"/>
    <n v="84"/>
    <n v="0"/>
    <n v="220.84"/>
    <n v="132.96"/>
    <m/>
    <n v="218.17876694576694"/>
    <n v="222.40811297701694"/>
    <n v="0"/>
    <n v="3041.0719099999992"/>
    <n v="0"/>
    <n v="3786.9910952296359"/>
    <x v="3"/>
  </r>
  <r>
    <s v="Refaturamento - Regular"/>
    <x v="1"/>
    <x v="1"/>
    <x v="2"/>
    <x v="4"/>
    <x v="1"/>
    <x v="0"/>
    <x v="1"/>
    <x v="9"/>
    <n v="0"/>
    <n v="0"/>
    <n v="0.14000000000000001"/>
    <n v="0.14000000000000001"/>
    <n v="0.14000000000000001"/>
    <n v="0.14000000000000001"/>
    <n v="0"/>
    <s v="CATIVO"/>
    <n v="0"/>
    <n v="0"/>
    <n v="33"/>
    <n v="84"/>
    <n v="0"/>
    <n v="220.84"/>
    <n v="132.96"/>
    <m/>
    <n v="218.17876694576694"/>
    <n v="222.40811297701694"/>
    <n v="0"/>
    <n v="33.021799999999992"/>
    <n v="0"/>
    <n v="41.12144212612651"/>
    <x v="3"/>
  </r>
  <r>
    <s v="Regular"/>
    <x v="1"/>
    <x v="1"/>
    <x v="2"/>
    <x v="4"/>
    <x v="1"/>
    <x v="0"/>
    <x v="1"/>
    <x v="10"/>
    <n v="0"/>
    <n v="0"/>
    <n v="12.66"/>
    <n v="12.66"/>
    <n v="12.66"/>
    <n v="12.66"/>
    <n v="115"/>
    <s v="CATIVO"/>
    <n v="0"/>
    <n v="0"/>
    <n v="33"/>
    <n v="84"/>
    <n v="0"/>
    <n v="220.84"/>
    <n v="132.96"/>
    <m/>
    <n v="218.17876694576694"/>
    <n v="222.40811297701694"/>
    <n v="0"/>
    <n v="2986.1141999999991"/>
    <n v="0"/>
    <n v="3718.5532665482965"/>
    <x v="3"/>
  </r>
  <r>
    <s v="Regular"/>
    <x v="1"/>
    <x v="1"/>
    <x v="2"/>
    <x v="4"/>
    <x v="1"/>
    <x v="0"/>
    <x v="1"/>
    <x v="11"/>
    <n v="0"/>
    <n v="0"/>
    <n v="10.305999999999999"/>
    <n v="10.305999999999999"/>
    <n v="10.305999999999999"/>
    <n v="10.305999999999999"/>
    <n v="74"/>
    <s v="CATIVO"/>
    <n v="0"/>
    <n v="0"/>
    <n v="33"/>
    <n v="84"/>
    <n v="0"/>
    <n v="220.84"/>
    <n v="132.96"/>
    <m/>
    <n v="218.17876694576694"/>
    <n v="222.40811297701694"/>
    <n v="0"/>
    <n v="2430.8762199999992"/>
    <n v="0"/>
    <n v="3027.1255896561406"/>
    <x v="3"/>
  </r>
  <r>
    <s v="Regular"/>
    <x v="1"/>
    <x v="1"/>
    <x v="2"/>
    <x v="5"/>
    <x v="1"/>
    <x v="0"/>
    <x v="1"/>
    <x v="0"/>
    <n v="0"/>
    <n v="0"/>
    <n v="7.3079999999999998"/>
    <n v="7.3079999999999998"/>
    <n v="7.3079999999999998"/>
    <n v="7.3079999999999998"/>
    <n v="88"/>
    <s v="CATIVO"/>
    <n v="0"/>
    <n v="0"/>
    <n v="43"/>
    <n v="74"/>
    <n v="0"/>
    <n v="331.26"/>
    <n v="199.44"/>
    <m/>
    <n v="327.26815041865041"/>
    <n v="333.61216946552543"/>
    <n v="0"/>
    <n v="430.95275999999978"/>
    <n v="0"/>
    <n v="536.63481974595084"/>
    <x v="3"/>
  </r>
  <r>
    <s v="Regular"/>
    <x v="1"/>
    <x v="1"/>
    <x v="2"/>
    <x v="5"/>
    <x v="1"/>
    <x v="0"/>
    <x v="1"/>
    <x v="1"/>
    <n v="0"/>
    <n v="0"/>
    <n v="5.2969999999999997"/>
    <n v="5.2969999999999997"/>
    <n v="5.2969999999999997"/>
    <n v="5.2969999999999997"/>
    <n v="68"/>
    <s v="CATIVO"/>
    <n v="0"/>
    <n v="0"/>
    <n v="43"/>
    <n v="74"/>
    <n v="0"/>
    <n v="331.26"/>
    <n v="199.44"/>
    <m/>
    <n v="327.26815041865041"/>
    <n v="333.61216946552543"/>
    <n v="0"/>
    <n v="312.36408999999981"/>
    <n v="0"/>
    <n v="388.96478382516443"/>
    <x v="3"/>
  </r>
  <r>
    <s v="Refaturamento - Regular"/>
    <x v="1"/>
    <x v="1"/>
    <x v="2"/>
    <x v="5"/>
    <x v="1"/>
    <x v="0"/>
    <x v="1"/>
    <x v="1"/>
    <n v="0"/>
    <n v="0"/>
    <n v="-2.4E-2"/>
    <n v="-2.4E-2"/>
    <n v="-2.4E-2"/>
    <n v="-2.4E-2"/>
    <n v="0"/>
    <s v="CATIVO"/>
    <n v="0"/>
    <n v="0"/>
    <n v="43"/>
    <n v="74"/>
    <n v="0"/>
    <n v="331.26"/>
    <n v="199.44"/>
    <m/>
    <n v="327.26815041865041"/>
    <n v="333.61216946552543"/>
    <n v="0"/>
    <n v="-1.4152799999999994"/>
    <n v="0"/>
    <n v="-1.7623475196911358"/>
    <x v="3"/>
  </r>
  <r>
    <s v="Regular"/>
    <x v="1"/>
    <x v="1"/>
    <x v="2"/>
    <x v="5"/>
    <x v="1"/>
    <x v="0"/>
    <x v="1"/>
    <x v="2"/>
    <n v="0"/>
    <n v="0"/>
    <n v="5.4630000000000001"/>
    <n v="5.4630000000000001"/>
    <n v="5.4630000000000001"/>
    <n v="5.4630000000000001"/>
    <n v="70"/>
    <s v="CATIVO"/>
    <n v="0"/>
    <n v="0"/>
    <n v="43"/>
    <n v="74"/>
    <n v="0"/>
    <n v="331.26"/>
    <n v="199.44"/>
    <m/>
    <n v="327.26815041865041"/>
    <n v="333.61216946552543"/>
    <n v="0"/>
    <n v="322.15310999999986"/>
    <n v="0"/>
    <n v="401.15435416969478"/>
    <x v="3"/>
  </r>
  <r>
    <s v="Regular"/>
    <x v="1"/>
    <x v="1"/>
    <x v="2"/>
    <x v="5"/>
    <x v="1"/>
    <x v="0"/>
    <x v="1"/>
    <x v="3"/>
    <n v="0"/>
    <n v="0"/>
    <n v="6.6680000000000001"/>
    <n v="6.6680000000000001"/>
    <n v="6.6680000000000001"/>
    <n v="6.6680000000000001"/>
    <n v="73"/>
    <s v="CATIVO"/>
    <n v="0"/>
    <n v="0"/>
    <n v="43"/>
    <n v="74"/>
    <n v="0"/>
    <n v="331.26"/>
    <n v="199.44"/>
    <m/>
    <n v="327.26815041865041"/>
    <n v="333.61216946552543"/>
    <n v="0"/>
    <n v="393.21195999999981"/>
    <n v="0"/>
    <n v="489.63888588752059"/>
    <x v="3"/>
  </r>
  <r>
    <s v="Regular"/>
    <x v="1"/>
    <x v="1"/>
    <x v="2"/>
    <x v="5"/>
    <x v="1"/>
    <x v="0"/>
    <x v="1"/>
    <x v="4"/>
    <n v="0"/>
    <n v="0"/>
    <n v="7.4980000000000002"/>
    <n v="7.4980000000000002"/>
    <n v="7.4980000000000002"/>
    <n v="7.4980000000000002"/>
    <n v="71"/>
    <s v="CATIVO"/>
    <n v="0"/>
    <n v="0"/>
    <n v="43"/>
    <n v="74"/>
    <n v="0"/>
    <n v="331.26"/>
    <n v="199.44"/>
    <m/>
    <n v="327.26815041865041"/>
    <n v="333.61216946552543"/>
    <n v="0"/>
    <n v="442.15705999999977"/>
    <n v="0"/>
    <n v="550.58673761017235"/>
    <x v="3"/>
  </r>
  <r>
    <s v="Regular"/>
    <x v="1"/>
    <x v="1"/>
    <x v="2"/>
    <x v="5"/>
    <x v="1"/>
    <x v="0"/>
    <x v="1"/>
    <x v="5"/>
    <n v="0"/>
    <n v="0"/>
    <n v="7.2069999999999999"/>
    <n v="7.2069999999999999"/>
    <n v="7.2069999999999999"/>
    <n v="7.2069999999999999"/>
    <n v="74"/>
    <s v="CATIVO"/>
    <n v="0"/>
    <n v="0"/>
    <n v="43"/>
    <n v="74"/>
    <n v="0"/>
    <n v="331.26"/>
    <n v="199.44"/>
    <m/>
    <n v="327.26815041865041"/>
    <n v="333.61216946552543"/>
    <n v="0"/>
    <n v="424.99678999999981"/>
    <n v="0"/>
    <n v="529.21827393391732"/>
    <x v="3"/>
  </r>
  <r>
    <s v="Regular"/>
    <x v="1"/>
    <x v="1"/>
    <x v="2"/>
    <x v="5"/>
    <x v="1"/>
    <x v="0"/>
    <x v="1"/>
    <x v="6"/>
    <n v="0"/>
    <n v="0"/>
    <n v="7.8490000000000002"/>
    <n v="7.8490000000000002"/>
    <n v="7.8490000000000002"/>
    <n v="7.8490000000000002"/>
    <n v="72"/>
    <s v="CATIVO"/>
    <n v="0"/>
    <n v="0"/>
    <n v="43"/>
    <n v="74"/>
    <n v="0"/>
    <n v="331.26"/>
    <n v="199.44"/>
    <m/>
    <n v="327.26815041865041"/>
    <n v="333.61216946552543"/>
    <n v="0"/>
    <n v="462.85552999999976"/>
    <n v="0"/>
    <n v="576.36107008565523"/>
    <x v="3"/>
  </r>
  <r>
    <s v="Regular"/>
    <x v="1"/>
    <x v="1"/>
    <x v="2"/>
    <x v="5"/>
    <x v="1"/>
    <x v="0"/>
    <x v="1"/>
    <x v="7"/>
    <n v="0"/>
    <n v="0"/>
    <n v="7.9470000000000001"/>
    <n v="7.9470000000000001"/>
    <n v="7.9470000000000001"/>
    <n v="7.9470000000000001"/>
    <n v="79"/>
    <s v="CATIVO"/>
    <n v="0"/>
    <n v="0"/>
    <n v="43"/>
    <n v="74"/>
    <n v="0"/>
    <n v="331.26"/>
    <n v="199.44"/>
    <m/>
    <n v="327.26815041865041"/>
    <n v="333.61216946552543"/>
    <n v="0"/>
    <n v="468.63458999999978"/>
    <n v="0"/>
    <n v="583.55732245772731"/>
    <x v="3"/>
  </r>
  <r>
    <s v="Regular"/>
    <x v="1"/>
    <x v="1"/>
    <x v="2"/>
    <x v="5"/>
    <x v="1"/>
    <x v="0"/>
    <x v="1"/>
    <x v="8"/>
    <n v="0"/>
    <n v="0"/>
    <n v="6.3929999999999998"/>
    <n v="6.3929999999999998"/>
    <n v="6.3929999999999998"/>
    <n v="6.3929999999999998"/>
    <n v="72"/>
    <s v="CATIVO"/>
    <n v="0"/>
    <n v="0"/>
    <n v="43"/>
    <n v="74"/>
    <n v="0"/>
    <n v="331.26"/>
    <n v="199.44"/>
    <m/>
    <n v="327.26815041865041"/>
    <n v="333.61216946552543"/>
    <n v="0"/>
    <n v="376.99520999999982"/>
    <n v="0"/>
    <n v="469.44532055772629"/>
    <x v="3"/>
  </r>
  <r>
    <s v="Regular"/>
    <x v="1"/>
    <x v="1"/>
    <x v="2"/>
    <x v="5"/>
    <x v="1"/>
    <x v="0"/>
    <x v="1"/>
    <x v="9"/>
    <n v="0"/>
    <n v="0"/>
    <n v="7.9829999999999997"/>
    <n v="7.9829999999999997"/>
    <n v="7.9829999999999997"/>
    <n v="7.9829999999999997"/>
    <n v="107"/>
    <s v="CATIVO"/>
    <n v="0"/>
    <n v="0"/>
    <n v="43"/>
    <n v="74"/>
    <n v="0"/>
    <n v="331.26"/>
    <n v="199.44"/>
    <m/>
    <n v="327.26815041865041"/>
    <n v="333.61216946552543"/>
    <n v="0"/>
    <n v="470.75750999999974"/>
    <n v="0"/>
    <n v="586.20084373726399"/>
    <x v="3"/>
  </r>
  <r>
    <s v="Refaturamento - Regular"/>
    <x v="1"/>
    <x v="1"/>
    <x v="2"/>
    <x v="5"/>
    <x v="1"/>
    <x v="0"/>
    <x v="1"/>
    <x v="9"/>
    <n v="0"/>
    <n v="0"/>
    <n v="0.24"/>
    <n v="0.24"/>
    <n v="0.24"/>
    <n v="0.24"/>
    <n v="0"/>
    <s v="CATIVO"/>
    <n v="0"/>
    <n v="0"/>
    <n v="43"/>
    <n v="74"/>
    <n v="0"/>
    <n v="331.26"/>
    <n v="199.44"/>
    <m/>
    <n v="327.26815041865041"/>
    <n v="333.61216946552543"/>
    <n v="0"/>
    <n v="14.152799999999992"/>
    <n v="0"/>
    <n v="17.623475196911357"/>
    <x v="3"/>
  </r>
  <r>
    <s v="Regular"/>
    <x v="1"/>
    <x v="1"/>
    <x v="2"/>
    <x v="5"/>
    <x v="1"/>
    <x v="0"/>
    <x v="1"/>
    <x v="10"/>
    <n v="0"/>
    <n v="0"/>
    <n v="7.3650000000000002"/>
    <n v="7.3650000000000002"/>
    <n v="7.3650000000000002"/>
    <n v="7.3650000000000002"/>
    <n v="111"/>
    <s v="CATIVO"/>
    <n v="0"/>
    <n v="0"/>
    <n v="43"/>
    <n v="74"/>
    <n v="0"/>
    <n v="331.26"/>
    <n v="199.44"/>
    <m/>
    <n v="327.26815041865041"/>
    <n v="333.61216946552543"/>
    <n v="0"/>
    <n v="434.31404999999978"/>
    <n v="0"/>
    <n v="540.82039510521736"/>
    <x v="3"/>
  </r>
  <r>
    <s v="Regular"/>
    <x v="1"/>
    <x v="1"/>
    <x v="2"/>
    <x v="5"/>
    <x v="1"/>
    <x v="0"/>
    <x v="1"/>
    <x v="11"/>
    <n v="0"/>
    <n v="0"/>
    <n v="7.2119999999999997"/>
    <n v="7.2119999999999997"/>
    <n v="7.2119999999999997"/>
    <n v="7.2119999999999997"/>
    <n v="88"/>
    <s v="CATIVO"/>
    <n v="0"/>
    <n v="0"/>
    <n v="43"/>
    <n v="74"/>
    <n v="0"/>
    <n v="331.26"/>
    <n v="199.44"/>
    <m/>
    <n v="327.26815041865041"/>
    <n v="333.61216946552543"/>
    <n v="0"/>
    <n v="425.29163999999975"/>
    <n v="0"/>
    <n v="529.5854296671863"/>
    <x v="3"/>
  </r>
  <r>
    <s v="Regular"/>
    <x v="1"/>
    <x v="1"/>
    <x v="2"/>
    <x v="6"/>
    <x v="1"/>
    <x v="0"/>
    <x v="1"/>
    <x v="0"/>
    <n v="0"/>
    <n v="0"/>
    <n v="0.19500000000000001"/>
    <n v="0.19500000000000001"/>
    <n v="0.19500000000000001"/>
    <n v="0.19500000000000001"/>
    <n v="3"/>
    <s v="CATIVO"/>
    <n v="0"/>
    <n v="0"/>
    <n v="48"/>
    <n v="71"/>
    <n v="0"/>
    <n v="368.07"/>
    <n v="221.6"/>
    <m/>
    <n v="363.63127824294492"/>
    <n v="370.68018829502824"/>
    <n v="0"/>
    <n v="-5.5422333389287816E-15"/>
    <n v="0"/>
    <n v="0"/>
    <x v="3"/>
  </r>
  <r>
    <s v="Regular"/>
    <x v="1"/>
    <x v="1"/>
    <x v="2"/>
    <x v="6"/>
    <x v="1"/>
    <x v="0"/>
    <x v="1"/>
    <x v="1"/>
    <n v="0"/>
    <n v="0"/>
    <n v="1.1439999999999999"/>
    <n v="1.1439999999999999"/>
    <n v="1.1439999999999999"/>
    <n v="1.1439999999999999"/>
    <n v="14"/>
    <s v="CATIVO"/>
    <n v="0"/>
    <n v="0"/>
    <n v="48"/>
    <n v="71"/>
    <n v="0"/>
    <n v="368.07"/>
    <n v="221.6"/>
    <m/>
    <n v="363.63127824294492"/>
    <n v="370.68018829502824"/>
    <n v="0"/>
    <n v="-3.2514435588382182E-14"/>
    <n v="0"/>
    <n v="0"/>
    <x v="3"/>
  </r>
  <r>
    <s v="Refaturamento - Regular"/>
    <x v="1"/>
    <x v="1"/>
    <x v="2"/>
    <x v="6"/>
    <x v="1"/>
    <x v="0"/>
    <x v="1"/>
    <x v="1"/>
    <n v="0"/>
    <n v="0"/>
    <n v="-0.23"/>
    <n v="-0.23"/>
    <n v="-0.23"/>
    <n v="-0.23"/>
    <n v="0"/>
    <s v="CATIVO"/>
    <n v="0"/>
    <n v="0"/>
    <n v="48"/>
    <n v="71"/>
    <n v="0"/>
    <n v="368.07"/>
    <n v="221.6"/>
    <m/>
    <n v="363.63127824294492"/>
    <n v="370.68018829502824"/>
    <n v="0"/>
    <n v="6.536993168992922E-15"/>
    <n v="0"/>
    <n v="0"/>
    <x v="3"/>
  </r>
  <r>
    <s v="Regular"/>
    <x v="1"/>
    <x v="1"/>
    <x v="2"/>
    <x v="6"/>
    <x v="1"/>
    <x v="0"/>
    <x v="1"/>
    <x v="2"/>
    <n v="0"/>
    <n v="0"/>
    <n v="1.03"/>
    <n v="1.03"/>
    <n v="1.03"/>
    <n v="1.03"/>
    <n v="18"/>
    <s v="CATIVO"/>
    <n v="0"/>
    <n v="0"/>
    <n v="48"/>
    <n v="71"/>
    <n v="0"/>
    <n v="368.07"/>
    <n v="221.6"/>
    <m/>
    <n v="363.63127824294492"/>
    <n v="370.68018829502824"/>
    <n v="0"/>
    <n v="-2.9274360713316128E-14"/>
    <n v="0"/>
    <n v="0"/>
    <x v="3"/>
  </r>
  <r>
    <s v="Regular"/>
    <x v="1"/>
    <x v="1"/>
    <x v="2"/>
    <x v="6"/>
    <x v="1"/>
    <x v="0"/>
    <x v="1"/>
    <x v="3"/>
    <n v="0"/>
    <n v="0"/>
    <n v="1.5940000000000001"/>
    <n v="1.5940000000000001"/>
    <n v="1.5940000000000001"/>
    <n v="1.5940000000000001"/>
    <n v="22"/>
    <s v="CATIVO"/>
    <n v="0"/>
    <n v="0"/>
    <n v="48"/>
    <n v="71"/>
    <n v="0"/>
    <n v="368.07"/>
    <n v="221.6"/>
    <m/>
    <n v="363.63127824294492"/>
    <n v="370.68018829502824"/>
    <n v="0"/>
    <n v="-4.530420483206399E-14"/>
    <n v="0"/>
    <n v="0"/>
    <x v="3"/>
  </r>
  <r>
    <s v="Regular"/>
    <x v="1"/>
    <x v="1"/>
    <x v="2"/>
    <x v="6"/>
    <x v="1"/>
    <x v="0"/>
    <x v="1"/>
    <x v="4"/>
    <n v="0"/>
    <n v="0"/>
    <n v="2.44"/>
    <n v="2.44"/>
    <n v="2.44"/>
    <n v="2.44"/>
    <n v="29"/>
    <s v="CATIVO"/>
    <n v="0"/>
    <n v="0"/>
    <n v="48"/>
    <n v="71"/>
    <n v="0"/>
    <n v="368.07"/>
    <n v="221.6"/>
    <m/>
    <n v="363.63127824294492"/>
    <n v="370.68018829502824"/>
    <n v="0"/>
    <n v="-6.9348971010185777E-14"/>
    <n v="0"/>
    <n v="0"/>
    <x v="3"/>
  </r>
  <r>
    <s v="Regular"/>
    <x v="1"/>
    <x v="1"/>
    <x v="2"/>
    <x v="6"/>
    <x v="1"/>
    <x v="0"/>
    <x v="1"/>
    <x v="5"/>
    <n v="0"/>
    <n v="0"/>
    <n v="2.125"/>
    <n v="2.125"/>
    <n v="2.125"/>
    <n v="2.125"/>
    <n v="26"/>
    <s v="CATIVO"/>
    <n v="0"/>
    <n v="0"/>
    <n v="48"/>
    <n v="71"/>
    <n v="0"/>
    <n v="368.07"/>
    <n v="221.6"/>
    <m/>
    <n v="363.63127824294492"/>
    <n v="370.68018829502824"/>
    <n v="0"/>
    <n v="-6.0396132539608516E-14"/>
    <n v="0"/>
    <n v="0"/>
    <x v="3"/>
  </r>
  <r>
    <s v="Regular"/>
    <x v="1"/>
    <x v="1"/>
    <x v="2"/>
    <x v="6"/>
    <x v="1"/>
    <x v="0"/>
    <x v="1"/>
    <x v="6"/>
    <n v="0"/>
    <n v="0"/>
    <n v="2.6110000000000002"/>
    <n v="2.6110000000000002"/>
    <n v="2.6110000000000002"/>
    <n v="2.6110000000000002"/>
    <n v="32"/>
    <s v="CATIVO"/>
    <n v="0"/>
    <n v="0"/>
    <n v="48"/>
    <n v="71"/>
    <n v="0"/>
    <n v="368.07"/>
    <n v="221.6"/>
    <m/>
    <n v="363.63127824294492"/>
    <n v="370.68018829502824"/>
    <n v="0"/>
    <n v="-7.4209083322784869E-14"/>
    <n v="0"/>
    <n v="0"/>
    <x v="3"/>
  </r>
  <r>
    <s v="Regular"/>
    <x v="1"/>
    <x v="1"/>
    <x v="2"/>
    <x v="6"/>
    <x v="1"/>
    <x v="0"/>
    <x v="1"/>
    <x v="7"/>
    <n v="0"/>
    <n v="0"/>
    <n v="2.0590000000000002"/>
    <n v="2.0590000000000002"/>
    <n v="2.0590000000000002"/>
    <n v="2.0590000000000002"/>
    <n v="26"/>
    <s v="CATIVO"/>
    <n v="0"/>
    <n v="0"/>
    <n v="48"/>
    <n v="71"/>
    <n v="0"/>
    <n v="368.07"/>
    <n v="221.6"/>
    <m/>
    <n v="363.63127824294492"/>
    <n v="370.68018829502824"/>
    <n v="0"/>
    <n v="-5.8520299717201856E-14"/>
    <n v="0"/>
    <n v="0"/>
    <x v="3"/>
  </r>
  <r>
    <s v="Regular"/>
    <x v="1"/>
    <x v="1"/>
    <x v="2"/>
    <x v="6"/>
    <x v="1"/>
    <x v="0"/>
    <x v="1"/>
    <x v="8"/>
    <n v="0"/>
    <n v="0"/>
    <n v="1.4379999999999999"/>
    <n v="1.4379999999999999"/>
    <n v="1.4379999999999999"/>
    <n v="1.4379999999999999"/>
    <n v="24"/>
    <s v="CATIVO"/>
    <n v="0"/>
    <n v="0"/>
    <n v="48"/>
    <n v="71"/>
    <n v="0"/>
    <n v="368.07"/>
    <n v="221.6"/>
    <m/>
    <n v="363.63127824294492"/>
    <n v="370.68018829502824"/>
    <n v="0"/>
    <n v="-4.0870418160920961E-14"/>
    <n v="0"/>
    <n v="0"/>
    <x v="3"/>
  </r>
  <r>
    <s v="Regular"/>
    <x v="1"/>
    <x v="1"/>
    <x v="2"/>
    <x v="6"/>
    <x v="1"/>
    <x v="0"/>
    <x v="1"/>
    <x v="9"/>
    <n v="0"/>
    <n v="0"/>
    <n v="1.7869999999999999"/>
    <n v="1.7869999999999999"/>
    <n v="1.7869999999999999"/>
    <n v="1.7869999999999999"/>
    <n v="19"/>
    <s v="CATIVO"/>
    <n v="0"/>
    <n v="0"/>
    <n v="48"/>
    <n v="71"/>
    <n v="0"/>
    <n v="368.07"/>
    <n v="221.6"/>
    <m/>
    <n v="363.63127824294492"/>
    <n v="370.68018829502824"/>
    <n v="0"/>
    <n v="-5.0789594752131959E-14"/>
    <n v="0"/>
    <n v="0"/>
    <x v="3"/>
  </r>
  <r>
    <s v="Refaturamento - Regular"/>
    <x v="1"/>
    <x v="1"/>
    <x v="2"/>
    <x v="6"/>
    <x v="1"/>
    <x v="0"/>
    <x v="1"/>
    <x v="9"/>
    <n v="0"/>
    <n v="0"/>
    <n v="0.436"/>
    <n v="0.436"/>
    <n v="0.436"/>
    <n v="0.436"/>
    <n v="0"/>
    <s v="CATIVO"/>
    <n v="0"/>
    <n v="0"/>
    <n v="48"/>
    <n v="71"/>
    <n v="0"/>
    <n v="368.07"/>
    <n v="221.6"/>
    <m/>
    <n v="363.63127824294492"/>
    <n v="370.68018829502824"/>
    <n v="0"/>
    <n v="-1.2391865311656147E-14"/>
    <n v="0"/>
    <n v="0"/>
    <x v="3"/>
  </r>
  <r>
    <s v="Regular"/>
    <x v="1"/>
    <x v="1"/>
    <x v="2"/>
    <x v="6"/>
    <x v="1"/>
    <x v="0"/>
    <x v="1"/>
    <x v="10"/>
    <n v="0"/>
    <n v="0"/>
    <n v="1.2589999999999999"/>
    <n v="1.2589999999999999"/>
    <n v="1.2589999999999999"/>
    <n v="1.2589999999999999"/>
    <n v="16"/>
    <s v="CATIVO"/>
    <n v="0"/>
    <n v="0"/>
    <n v="48"/>
    <n v="71"/>
    <n v="0"/>
    <n v="368.07"/>
    <n v="221.6"/>
    <m/>
    <n v="363.63127824294492"/>
    <n v="370.68018829502824"/>
    <n v="0"/>
    <n v="-3.5782932172878642E-14"/>
    <n v="0"/>
    <n v="0"/>
    <x v="3"/>
  </r>
  <r>
    <s v="Regular"/>
    <x v="1"/>
    <x v="1"/>
    <x v="2"/>
    <x v="6"/>
    <x v="1"/>
    <x v="0"/>
    <x v="1"/>
    <x v="11"/>
    <n v="0"/>
    <n v="0"/>
    <n v="1.1619999999999999"/>
    <n v="1.1619999999999999"/>
    <n v="1.1619999999999999"/>
    <n v="1.1619999999999999"/>
    <n v="20"/>
    <s v="CATIVO"/>
    <n v="0"/>
    <n v="0"/>
    <n v="48"/>
    <n v="71"/>
    <n v="0"/>
    <n v="368.07"/>
    <n v="221.6"/>
    <m/>
    <n v="363.63127824294492"/>
    <n v="370.68018829502824"/>
    <n v="0"/>
    <n v="-3.3026026358129454E-14"/>
    <n v="0"/>
    <n v="0"/>
    <x v="3"/>
  </r>
  <r>
    <s v="Regular"/>
    <x v="2"/>
    <x v="1"/>
    <x v="3"/>
    <x v="0"/>
    <x v="1"/>
    <x v="0"/>
    <x v="1"/>
    <x v="0"/>
    <n v="0"/>
    <n v="0"/>
    <n v="108.533"/>
    <n v="108.533"/>
    <n v="108.533"/>
    <n v="108.533"/>
    <n v="329"/>
    <s v="CATIVO"/>
    <n v="0"/>
    <n v="0"/>
    <n v="39"/>
    <n v="10"/>
    <n v="0"/>
    <n v="406.8"/>
    <n v="195"/>
    <m/>
    <n v="467.11598296296341"/>
    <n v="348.43937699732652"/>
    <n v="0"/>
    <n v="8907.3033099999993"/>
    <n v="0"/>
    <n v="5649.8725456959673"/>
    <x v="4"/>
  </r>
  <r>
    <s v="Sistema de Compensação"/>
    <x v="2"/>
    <x v="1"/>
    <x v="3"/>
    <x v="0"/>
    <x v="1"/>
    <x v="0"/>
    <x v="1"/>
    <x v="0"/>
    <n v="0"/>
    <n v="0"/>
    <n v="0.42399999999999999"/>
    <n v="0.42399999999999999"/>
    <n v="0.42399999999999999"/>
    <n v="0.42399999999999999"/>
    <n v="3"/>
    <s v="CATIVO"/>
    <n v="0"/>
    <n v="0"/>
    <n v="39"/>
    <n v="10"/>
    <n v="0"/>
    <n v="406.8"/>
    <n v="195"/>
    <m/>
    <n v="467.11598296296341"/>
    <n v="348.43937699732652"/>
    <n v="0"/>
    <n v="34.797679999999993"/>
    <n v="0"/>
    <n v="22.072051444031676"/>
    <x v="4"/>
  </r>
  <r>
    <s v="Regular"/>
    <x v="2"/>
    <x v="1"/>
    <x v="3"/>
    <x v="0"/>
    <x v="1"/>
    <x v="0"/>
    <x v="1"/>
    <x v="1"/>
    <n v="0"/>
    <n v="0"/>
    <n v="105.29"/>
    <n v="105.29"/>
    <n v="105.29"/>
    <n v="105.29"/>
    <n v="334"/>
    <s v="CATIVO"/>
    <n v="0"/>
    <n v="0"/>
    <n v="39"/>
    <n v="10"/>
    <n v="0"/>
    <n v="406.8"/>
    <n v="195"/>
    <m/>
    <n v="467.11598296296341"/>
    <n v="348.43937699732652"/>
    <n v="0"/>
    <n v="8641.1502999999993"/>
    <n v="0"/>
    <n v="5481.052586184187"/>
    <x v="4"/>
  </r>
  <r>
    <s v="Refaturamento - Regular"/>
    <x v="2"/>
    <x v="1"/>
    <x v="3"/>
    <x v="0"/>
    <x v="1"/>
    <x v="0"/>
    <x v="1"/>
    <x v="1"/>
    <n v="0"/>
    <n v="0"/>
    <n v="-0.44600000000000001"/>
    <n v="-0.44600000000000001"/>
    <n v="-0.44600000000000001"/>
    <n v="-0.44600000000000001"/>
    <n v="0"/>
    <s v="CATIVO"/>
    <n v="0"/>
    <n v="0"/>
    <n v="39"/>
    <n v="10"/>
    <n v="0"/>
    <n v="406.8"/>
    <n v="195"/>
    <m/>
    <n v="467.11598296296341"/>
    <n v="348.43937699732652"/>
    <n v="0"/>
    <n v="-36.60322"/>
    <n v="0"/>
    <n v="-23.217299396316339"/>
    <x v="4"/>
  </r>
  <r>
    <s v="Sistema de Compensação"/>
    <x v="2"/>
    <x v="1"/>
    <x v="3"/>
    <x v="0"/>
    <x v="1"/>
    <x v="0"/>
    <x v="1"/>
    <x v="1"/>
    <n v="0"/>
    <n v="0"/>
    <n v="1.4690000000000001"/>
    <n v="1.4690000000000001"/>
    <n v="1.4690000000000001"/>
    <n v="1.4690000000000001"/>
    <n v="3"/>
    <s v="CATIVO"/>
    <n v="0"/>
    <n v="0"/>
    <n v="39"/>
    <n v="10"/>
    <n v="0"/>
    <n v="406.8"/>
    <n v="195"/>
    <m/>
    <n v="467.11598296296341"/>
    <n v="348.43937699732652"/>
    <n v="0"/>
    <n v="120.56083"/>
    <n v="0"/>
    <n v="76.471329177553145"/>
    <x v="4"/>
  </r>
  <r>
    <s v="Regular"/>
    <x v="2"/>
    <x v="1"/>
    <x v="3"/>
    <x v="0"/>
    <x v="1"/>
    <x v="0"/>
    <x v="1"/>
    <x v="2"/>
    <n v="0"/>
    <n v="0"/>
    <n v="111.015"/>
    <n v="111.015"/>
    <n v="111.015"/>
    <n v="111.015"/>
    <n v="331"/>
    <s v="CATIVO"/>
    <n v="0"/>
    <n v="0"/>
    <n v="39"/>
    <n v="10"/>
    <n v="0"/>
    <n v="406.8"/>
    <n v="195"/>
    <m/>
    <n v="467.11598296296341"/>
    <n v="348.43937699732652"/>
    <n v="0"/>
    <n v="9111.0010499999989"/>
    <n v="0"/>
    <n v="5779.077337403718"/>
    <x v="4"/>
  </r>
  <r>
    <s v="Sistema de Compensação"/>
    <x v="2"/>
    <x v="1"/>
    <x v="3"/>
    <x v="0"/>
    <x v="1"/>
    <x v="0"/>
    <x v="1"/>
    <x v="2"/>
    <n v="0"/>
    <n v="0"/>
    <n v="0.28299999999999997"/>
    <n v="0.28299999999999997"/>
    <n v="0.28299999999999997"/>
    <n v="0.28299999999999997"/>
    <n v="3"/>
    <s v="CATIVO"/>
    <n v="0"/>
    <n v="0"/>
    <n v="39"/>
    <n v="10"/>
    <n v="0"/>
    <n v="406.8"/>
    <n v="195"/>
    <m/>
    <n v="467.11598296296341"/>
    <n v="348.43937699732652"/>
    <n v="0"/>
    <n v="23.225809999999996"/>
    <n v="0"/>
    <n v="14.732053204389066"/>
    <x v="4"/>
  </r>
  <r>
    <s v="Regular"/>
    <x v="2"/>
    <x v="1"/>
    <x v="3"/>
    <x v="0"/>
    <x v="1"/>
    <x v="0"/>
    <x v="1"/>
    <x v="3"/>
    <n v="0"/>
    <n v="0"/>
    <n v="115.242"/>
    <n v="115.242"/>
    <n v="115.242"/>
    <n v="115.242"/>
    <n v="333"/>
    <s v="CATIVO"/>
    <n v="0"/>
    <n v="0"/>
    <n v="39"/>
    <n v="10"/>
    <n v="0"/>
    <n v="406.8"/>
    <n v="195"/>
    <m/>
    <n v="467.11598296296341"/>
    <n v="348.43937699732652"/>
    <n v="0"/>
    <n v="9457.9109399999998"/>
    <n v="0"/>
    <n v="5999.121114417685"/>
    <x v="4"/>
  </r>
  <r>
    <s v="Sistema de Compensação"/>
    <x v="2"/>
    <x v="1"/>
    <x v="3"/>
    <x v="0"/>
    <x v="1"/>
    <x v="0"/>
    <x v="1"/>
    <x v="3"/>
    <n v="0"/>
    <n v="0"/>
    <n v="1.2270000000000001"/>
    <n v="1.2270000000000001"/>
    <n v="1.2270000000000001"/>
    <n v="1.2270000000000001"/>
    <n v="3"/>
    <s v="CATIVO"/>
    <n v="0"/>
    <n v="0"/>
    <n v="39"/>
    <n v="10"/>
    <n v="0"/>
    <n v="406.8"/>
    <n v="195"/>
    <m/>
    <n v="467.11598296296341"/>
    <n v="348.43937699732652"/>
    <n v="0"/>
    <n v="100.69989"/>
    <n v="0"/>
    <n v="63.873601702421858"/>
    <x v="4"/>
  </r>
  <r>
    <s v="Regular"/>
    <x v="2"/>
    <x v="1"/>
    <x v="3"/>
    <x v="0"/>
    <x v="1"/>
    <x v="0"/>
    <x v="1"/>
    <x v="4"/>
    <n v="0"/>
    <n v="0"/>
    <n v="132.32300000000001"/>
    <n v="132.32300000000001"/>
    <n v="132.32300000000001"/>
    <n v="132.32300000000001"/>
    <n v="334"/>
    <s v="CATIVO"/>
    <n v="0"/>
    <n v="0"/>
    <n v="39"/>
    <n v="10"/>
    <n v="0"/>
    <n v="406.8"/>
    <n v="195"/>
    <m/>
    <n v="467.11598296296341"/>
    <n v="348.43937699732652"/>
    <n v="0"/>
    <n v="10859.748610000001"/>
    <n v="0"/>
    <n v="6888.3020359165184"/>
    <x v="4"/>
  </r>
  <r>
    <s v="Sistema de Compensação"/>
    <x v="2"/>
    <x v="1"/>
    <x v="3"/>
    <x v="0"/>
    <x v="1"/>
    <x v="0"/>
    <x v="1"/>
    <x v="4"/>
    <n v="0"/>
    <n v="0"/>
    <n v="3.0249999999999999"/>
    <n v="3.0249999999999999"/>
    <n v="3.0249999999999999"/>
    <n v="3.0249999999999999"/>
    <n v="5"/>
    <s v="CATIVO"/>
    <n v="0"/>
    <n v="0"/>
    <n v="39"/>
    <n v="10"/>
    <n v="0"/>
    <n v="406.8"/>
    <n v="195"/>
    <m/>
    <n v="467.11598296296341"/>
    <n v="348.43937699732652"/>
    <n v="0"/>
    <n v="248.26174999999998"/>
    <n v="0"/>
    <n v="157.47159343914109"/>
    <x v="4"/>
  </r>
  <r>
    <s v="Regular"/>
    <x v="2"/>
    <x v="1"/>
    <x v="3"/>
    <x v="0"/>
    <x v="1"/>
    <x v="0"/>
    <x v="1"/>
    <x v="5"/>
    <n v="0"/>
    <n v="0"/>
    <n v="128.40199999999999"/>
    <n v="128.40199999999999"/>
    <n v="128.40199999999999"/>
    <n v="128.40199999999999"/>
    <n v="331"/>
    <s v="CATIVO"/>
    <n v="0"/>
    <n v="0"/>
    <n v="39"/>
    <n v="10"/>
    <n v="0"/>
    <n v="406.8"/>
    <n v="195"/>
    <m/>
    <n v="467.11598296296341"/>
    <n v="348.43937699732652"/>
    <n v="0"/>
    <n v="10537.952139999998"/>
    <n v="0"/>
    <n v="6684.1876167843275"/>
    <x v="4"/>
  </r>
  <r>
    <s v="Sistema de Compensação"/>
    <x v="2"/>
    <x v="1"/>
    <x v="3"/>
    <x v="0"/>
    <x v="1"/>
    <x v="0"/>
    <x v="1"/>
    <x v="5"/>
    <n v="0"/>
    <n v="0"/>
    <n v="1.198"/>
    <n v="1.198"/>
    <n v="1.198"/>
    <n v="1.198"/>
    <n v="4"/>
    <s v="CATIVO"/>
    <n v="0"/>
    <n v="0"/>
    <n v="39"/>
    <n v="10"/>
    <n v="0"/>
    <n v="406.8"/>
    <n v="195"/>
    <m/>
    <n v="467.11598296296341"/>
    <n v="348.43937699732652"/>
    <n v="0"/>
    <n v="98.319859999999991"/>
    <n v="0"/>
    <n v="62.363956674410254"/>
    <x v="4"/>
  </r>
  <r>
    <s v="Sistema de Compensação"/>
    <x v="2"/>
    <x v="1"/>
    <x v="3"/>
    <x v="0"/>
    <x v="1"/>
    <x v="0"/>
    <x v="1"/>
    <x v="5"/>
    <n v="0"/>
    <n v="0"/>
    <n v="-0.82199999999999995"/>
    <n v="-0.82199999999999995"/>
    <n v="-0.82199999999999995"/>
    <n v="-0.82199999999999995"/>
    <n v="2"/>
    <s v="CATIVO"/>
    <n v="0"/>
    <n v="0"/>
    <n v="39"/>
    <n v="10"/>
    <n v="0"/>
    <n v="406.8"/>
    <n v="195"/>
    <m/>
    <n v="467.11598296296341"/>
    <n v="348.43937699732652"/>
    <n v="0"/>
    <n v="-67.461539999999985"/>
    <n v="0"/>
    <n v="-42.790628035363298"/>
    <x v="4"/>
  </r>
  <r>
    <s v="Regular"/>
    <x v="2"/>
    <x v="1"/>
    <x v="3"/>
    <x v="0"/>
    <x v="1"/>
    <x v="0"/>
    <x v="1"/>
    <x v="6"/>
    <n v="0"/>
    <n v="0"/>
    <n v="132.58600000000001"/>
    <n v="132.58600000000001"/>
    <n v="132.58600000000001"/>
    <n v="132.58600000000001"/>
    <n v="332"/>
    <s v="CATIVO"/>
    <n v="0"/>
    <n v="0"/>
    <n v="39"/>
    <n v="10"/>
    <n v="0"/>
    <n v="406.8"/>
    <n v="195"/>
    <m/>
    <n v="467.11598296296341"/>
    <n v="348.43937699732652"/>
    <n v="0"/>
    <n v="10881.33302"/>
    <n v="0"/>
    <n v="6901.9929546188305"/>
    <x v="4"/>
  </r>
  <r>
    <s v="Regular"/>
    <x v="2"/>
    <x v="1"/>
    <x v="3"/>
    <x v="0"/>
    <x v="1"/>
    <x v="0"/>
    <x v="1"/>
    <x v="7"/>
    <n v="0"/>
    <n v="0"/>
    <n v="122.051"/>
    <n v="122.051"/>
    <n v="122.051"/>
    <n v="122.051"/>
    <n v="327"/>
    <s v="CATIVO"/>
    <n v="0"/>
    <n v="0"/>
    <n v="39"/>
    <n v="10"/>
    <n v="0"/>
    <n v="406.8"/>
    <n v="195"/>
    <m/>
    <n v="467.11598296296341"/>
    <n v="348.43937699732652"/>
    <n v="0"/>
    <n v="10016.725569999999"/>
    <n v="0"/>
    <n v="6353.5753556497884"/>
    <x v="4"/>
  </r>
  <r>
    <s v="Sistema de Compensação"/>
    <x v="2"/>
    <x v="1"/>
    <x v="3"/>
    <x v="0"/>
    <x v="1"/>
    <x v="0"/>
    <x v="1"/>
    <x v="7"/>
    <n v="0"/>
    <n v="0"/>
    <n v="3.11"/>
    <n v="3.11"/>
    <n v="3.11"/>
    <n v="3.11"/>
    <n v="6"/>
    <s v="CATIVO"/>
    <n v="0"/>
    <n v="0"/>
    <n v="39"/>
    <n v="10"/>
    <n v="0"/>
    <n v="406.8"/>
    <n v="195"/>
    <m/>
    <n v="467.11598296296341"/>
    <n v="348.43937699732652"/>
    <n v="0"/>
    <n v="255.23769999999996"/>
    <n v="0"/>
    <n v="161.89641507296818"/>
    <x v="4"/>
  </r>
  <r>
    <s v="Regular"/>
    <x v="2"/>
    <x v="1"/>
    <x v="3"/>
    <x v="0"/>
    <x v="1"/>
    <x v="0"/>
    <x v="1"/>
    <x v="8"/>
    <n v="0"/>
    <n v="0"/>
    <n v="112.93300000000001"/>
    <n v="112.93300000000001"/>
    <n v="112.93300000000001"/>
    <n v="112.93300000000001"/>
    <n v="330"/>
    <s v="CATIVO"/>
    <n v="0"/>
    <n v="0"/>
    <n v="39"/>
    <n v="10"/>
    <n v="0"/>
    <n v="406.8"/>
    <n v="195"/>
    <m/>
    <n v="467.11598296296341"/>
    <n v="348.43937699732652"/>
    <n v="0"/>
    <n v="9268.4113099999995"/>
    <n v="0"/>
    <n v="5878.9221361528998"/>
    <x v="4"/>
  </r>
  <r>
    <s v="Refaturamento - Regular"/>
    <x v="2"/>
    <x v="1"/>
    <x v="3"/>
    <x v="0"/>
    <x v="1"/>
    <x v="0"/>
    <x v="1"/>
    <x v="8"/>
    <n v="0"/>
    <n v="0"/>
    <n v="2.222"/>
    <n v="2.222"/>
    <n v="2.222"/>
    <n v="2.222"/>
    <n v="0"/>
    <s v="CATIVO"/>
    <n v="0"/>
    <n v="0"/>
    <n v="39"/>
    <n v="10"/>
    <n v="0"/>
    <n v="406.8"/>
    <n v="195"/>
    <m/>
    <n v="467.11598296296341"/>
    <n v="348.43937699732652"/>
    <n v="0"/>
    <n v="182.35953999999998"/>
    <n v="0"/>
    <n v="115.67004318075091"/>
    <x v="4"/>
  </r>
  <r>
    <s v="Sistema de Compensação"/>
    <x v="2"/>
    <x v="1"/>
    <x v="3"/>
    <x v="0"/>
    <x v="1"/>
    <x v="0"/>
    <x v="1"/>
    <x v="8"/>
    <n v="0"/>
    <n v="0"/>
    <n v="2.544"/>
    <n v="2.544"/>
    <n v="2.544"/>
    <n v="2.544"/>
    <n v="6"/>
    <s v="CATIVO"/>
    <n v="0"/>
    <n v="0"/>
    <n v="39"/>
    <n v="10"/>
    <n v="0"/>
    <n v="406.8"/>
    <n v="195"/>
    <m/>
    <n v="467.11598296296341"/>
    <n v="348.43937699732652"/>
    <n v="0"/>
    <n v="208.78608"/>
    <n v="0"/>
    <n v="132.43230866419006"/>
    <x v="4"/>
  </r>
  <r>
    <s v="Regular"/>
    <x v="2"/>
    <x v="1"/>
    <x v="3"/>
    <x v="0"/>
    <x v="1"/>
    <x v="0"/>
    <x v="1"/>
    <x v="9"/>
    <n v="0"/>
    <n v="0"/>
    <n v="94.849000000000004"/>
    <n v="94.849000000000004"/>
    <n v="94.849000000000004"/>
    <n v="94.849000000000004"/>
    <n v="325"/>
    <s v="CATIVO"/>
    <n v="0"/>
    <n v="0"/>
    <n v="39"/>
    <n v="10"/>
    <n v="0"/>
    <n v="406.8"/>
    <n v="195"/>
    <m/>
    <n v="467.11598296296341"/>
    <n v="348.43937699732652"/>
    <n v="0"/>
    <n v="7784.2574299999997"/>
    <n v="0"/>
    <n v="4937.5283193749074"/>
    <x v="4"/>
  </r>
  <r>
    <s v="Refaturamento - Regular"/>
    <x v="2"/>
    <x v="1"/>
    <x v="3"/>
    <x v="0"/>
    <x v="1"/>
    <x v="0"/>
    <x v="1"/>
    <x v="9"/>
    <n v="0"/>
    <n v="0"/>
    <n v="-0.58599999999999997"/>
    <n v="-0.58599999999999997"/>
    <n v="-0.58599999999999997"/>
    <n v="-0.58599999999999997"/>
    <n v="0"/>
    <s v="CATIVO"/>
    <n v="0"/>
    <n v="0"/>
    <n v="39"/>
    <n v="10"/>
    <n v="0"/>
    <n v="406.8"/>
    <n v="195"/>
    <m/>
    <n v="467.11598296296341"/>
    <n v="348.43937699732652"/>
    <n v="0"/>
    <n v="-48.093019999999996"/>
    <n v="0"/>
    <n v="-30.505240910855097"/>
    <x v="4"/>
  </r>
  <r>
    <s v="Sistema de Compensação"/>
    <x v="2"/>
    <x v="1"/>
    <x v="3"/>
    <x v="0"/>
    <x v="1"/>
    <x v="0"/>
    <x v="1"/>
    <x v="9"/>
    <n v="0"/>
    <n v="0"/>
    <n v="1.64"/>
    <n v="1.64"/>
    <n v="1.64"/>
    <n v="1.64"/>
    <n v="5"/>
    <s v="CATIVO"/>
    <n v="0"/>
    <n v="0"/>
    <n v="39"/>
    <n v="10"/>
    <n v="0"/>
    <n v="406.8"/>
    <n v="195"/>
    <m/>
    <n v="467.11598296296341"/>
    <n v="348.43937699732652"/>
    <n v="0"/>
    <n v="134.59479999999999"/>
    <n v="0"/>
    <n v="85.373029170311199"/>
    <x v="4"/>
  </r>
  <r>
    <s v="Regular"/>
    <x v="2"/>
    <x v="1"/>
    <x v="3"/>
    <x v="0"/>
    <x v="1"/>
    <x v="0"/>
    <x v="1"/>
    <x v="10"/>
    <n v="0"/>
    <n v="0"/>
    <n v="99.789000000000001"/>
    <n v="99.789000000000001"/>
    <n v="99.789000000000001"/>
    <n v="99.789000000000001"/>
    <n v="321"/>
    <s v="CATIVO"/>
    <n v="0"/>
    <n v="0"/>
    <n v="39"/>
    <n v="10"/>
    <n v="0"/>
    <n v="406.8"/>
    <n v="195"/>
    <m/>
    <n v="467.11598296296341"/>
    <n v="348.43937699732652"/>
    <n v="0"/>
    <n v="8189.6832299999996"/>
    <n v="0"/>
    <n v="5194.6885413879172"/>
    <x v="4"/>
  </r>
  <r>
    <s v="Sistema de Compensação"/>
    <x v="2"/>
    <x v="1"/>
    <x v="3"/>
    <x v="0"/>
    <x v="1"/>
    <x v="0"/>
    <x v="1"/>
    <x v="10"/>
    <n v="0"/>
    <n v="0"/>
    <n v="1.3460000000000001"/>
    <n v="1.3460000000000001"/>
    <n v="1.3460000000000001"/>
    <n v="1.3460000000000001"/>
    <n v="6"/>
    <s v="CATIVO"/>
    <n v="0"/>
    <n v="0"/>
    <n v="39"/>
    <n v="10"/>
    <n v="0"/>
    <n v="406.8"/>
    <n v="195"/>
    <m/>
    <n v="467.11598296296341"/>
    <n v="348.43937699732652"/>
    <n v="0"/>
    <n v="110.46621999999999"/>
    <n v="0"/>
    <n v="70.068351989779813"/>
    <x v="4"/>
  </r>
  <r>
    <s v="Regular"/>
    <x v="2"/>
    <x v="1"/>
    <x v="3"/>
    <x v="0"/>
    <x v="1"/>
    <x v="0"/>
    <x v="1"/>
    <x v="11"/>
    <n v="0"/>
    <n v="0"/>
    <n v="102.925"/>
    <n v="102.925"/>
    <n v="102.925"/>
    <n v="102.925"/>
    <n v="320"/>
    <s v="CATIVO"/>
    <n v="0"/>
    <n v="0"/>
    <n v="39"/>
    <n v="10"/>
    <n v="0"/>
    <n v="406.8"/>
    <n v="195"/>
    <m/>
    <n v="467.11598296296341"/>
    <n v="348.43937699732652"/>
    <n v="0"/>
    <n v="8447.0547499999993"/>
    <n v="0"/>
    <n v="5357.9384313135852"/>
    <x v="4"/>
  </r>
  <r>
    <s v="Refaturamento - Regular"/>
    <x v="2"/>
    <x v="1"/>
    <x v="3"/>
    <x v="0"/>
    <x v="1"/>
    <x v="0"/>
    <x v="1"/>
    <x v="11"/>
    <n v="0"/>
    <n v="0"/>
    <n v="-8.0000000000000002E-3"/>
    <n v="-8.0000000000000002E-3"/>
    <n v="-8.0000000000000002E-3"/>
    <n v="-8.0000000000000002E-3"/>
    <n v="0"/>
    <s v="CATIVO"/>
    <n v="0"/>
    <n v="0"/>
    <n v="39"/>
    <n v="10"/>
    <n v="0"/>
    <n v="406.8"/>
    <n v="195"/>
    <m/>
    <n v="467.11598296296341"/>
    <n v="348.43937699732652"/>
    <n v="0"/>
    <n v="-0.65655999999999992"/>
    <n v="0"/>
    <n v="-0.41645380083078637"/>
    <x v="4"/>
  </r>
  <r>
    <s v="Sistema de Compensação"/>
    <x v="2"/>
    <x v="1"/>
    <x v="3"/>
    <x v="0"/>
    <x v="1"/>
    <x v="0"/>
    <x v="1"/>
    <x v="11"/>
    <n v="0"/>
    <n v="0"/>
    <n v="1.403"/>
    <n v="1.403"/>
    <n v="1.403"/>
    <n v="1.403"/>
    <n v="6"/>
    <s v="CATIVO"/>
    <n v="0"/>
    <n v="0"/>
    <n v="39"/>
    <n v="10"/>
    <n v="0"/>
    <n v="406.8"/>
    <n v="195"/>
    <m/>
    <n v="467.11598296296341"/>
    <n v="348.43937699732652"/>
    <n v="0"/>
    <n v="115.14420999999999"/>
    <n v="0"/>
    <n v="73.035585320699155"/>
    <x v="4"/>
  </r>
  <r>
    <s v="Regular"/>
    <x v="3"/>
    <x v="1"/>
    <x v="1"/>
    <x v="1"/>
    <x v="1"/>
    <x v="0"/>
    <x v="1"/>
    <x v="0"/>
    <n v="0"/>
    <n v="0"/>
    <n v="25.248000000000001"/>
    <n v="23.73312"/>
    <n v="25.248000000000001"/>
    <n v="23.73312"/>
    <n v="6"/>
    <s v="CATIVO"/>
    <n v="0"/>
    <n v="0"/>
    <n v="61"/>
    <n v="2"/>
    <n v="0"/>
    <n v="462.27"/>
    <n v="221.6"/>
    <m/>
    <n v="496.93189676911004"/>
    <n v="370.68018829502824"/>
    <n v="0"/>
    <n v="1035.9809856000011"/>
    <n v="0"/>
    <n v="1314.3281954219633"/>
    <x v="1"/>
  </r>
  <r>
    <s v="Regular"/>
    <x v="3"/>
    <x v="1"/>
    <x v="1"/>
    <x v="1"/>
    <x v="1"/>
    <x v="0"/>
    <x v="1"/>
    <x v="1"/>
    <n v="0"/>
    <n v="0"/>
    <n v="28.202000000000002"/>
    <n v="26.509879999999999"/>
    <n v="28.202000000000002"/>
    <n v="26.509879999999999"/>
    <n v="6"/>
    <s v="CATIVO"/>
    <n v="0"/>
    <n v="0"/>
    <n v="61"/>
    <n v="2"/>
    <n v="0"/>
    <n v="462.27"/>
    <n v="221.6"/>
    <m/>
    <n v="496.93189676911004"/>
    <n v="370.68018829502824"/>
    <n v="0"/>
    <n v="1157.1901044000019"/>
    <n v="0"/>
    <n v="1468.1037613787321"/>
    <x v="1"/>
  </r>
  <r>
    <s v="Regular"/>
    <x v="3"/>
    <x v="1"/>
    <x v="1"/>
    <x v="1"/>
    <x v="1"/>
    <x v="0"/>
    <x v="1"/>
    <x v="2"/>
    <n v="0"/>
    <n v="0"/>
    <n v="26.925000000000001"/>
    <n v="25.3095"/>
    <n v="26.925000000000001"/>
    <n v="25.3095"/>
    <n v="6"/>
    <s v="CATIVO"/>
    <n v="0"/>
    <n v="0"/>
    <n v="61"/>
    <n v="2"/>
    <n v="0"/>
    <n v="462.27"/>
    <n v="221.6"/>
    <m/>
    <n v="496.93189676911004"/>
    <n v="370.68018829502824"/>
    <n v="0"/>
    <n v="1104.7919850000005"/>
    <n v="0"/>
    <n v="1401.6273234211162"/>
    <x v="1"/>
  </r>
  <r>
    <s v="Regular"/>
    <x v="3"/>
    <x v="1"/>
    <x v="1"/>
    <x v="1"/>
    <x v="1"/>
    <x v="0"/>
    <x v="1"/>
    <x v="3"/>
    <n v="0"/>
    <n v="0"/>
    <n v="27.533000000000001"/>
    <n v="25.881019999999999"/>
    <n v="27.533000000000001"/>
    <n v="25.881019999999999"/>
    <n v="6"/>
    <s v="CATIVO"/>
    <n v="0"/>
    <n v="0"/>
    <n v="61"/>
    <n v="2"/>
    <n v="0"/>
    <n v="462.27"/>
    <n v="221.6"/>
    <m/>
    <n v="496.93189676911004"/>
    <n v="370.68018829502824"/>
    <n v="0"/>
    <n v="1129.7395626000011"/>
    <n v="0"/>
    <n v="1433.2778122842569"/>
    <x v="1"/>
  </r>
  <r>
    <s v="Regular"/>
    <x v="3"/>
    <x v="1"/>
    <x v="1"/>
    <x v="1"/>
    <x v="1"/>
    <x v="0"/>
    <x v="1"/>
    <x v="4"/>
    <n v="0"/>
    <n v="0"/>
    <n v="37.966000000000001"/>
    <n v="35.688040000000001"/>
    <n v="37.966000000000001"/>
    <n v="35.688040000000001"/>
    <n v="6"/>
    <s v="CATIVO"/>
    <n v="0"/>
    <n v="0"/>
    <n v="61"/>
    <n v="2"/>
    <n v="0"/>
    <n v="462.27"/>
    <n v="221.6"/>
    <m/>
    <n v="496.93189676911004"/>
    <n v="370.68018829502824"/>
    <n v="0"/>
    <n v="1557.8285052000001"/>
    <n v="0"/>
    <n v="1976.3856252927046"/>
    <x v="1"/>
  </r>
  <r>
    <s v="Regular"/>
    <x v="3"/>
    <x v="1"/>
    <x v="1"/>
    <x v="1"/>
    <x v="1"/>
    <x v="0"/>
    <x v="1"/>
    <x v="5"/>
    <n v="0"/>
    <n v="0"/>
    <n v="30.204000000000001"/>
    <n v="28.391760000000001"/>
    <n v="30.204000000000001"/>
    <n v="28.391760000000001"/>
    <n v="6"/>
    <s v="CATIVO"/>
    <n v="0"/>
    <n v="0"/>
    <n v="61"/>
    <n v="2"/>
    <n v="0"/>
    <n v="462.27"/>
    <n v="221.6"/>
    <m/>
    <n v="496.93189676911004"/>
    <n v="370.68018829502824"/>
    <n v="0"/>
    <n v="1239.3365687999994"/>
    <n v="0"/>
    <n v="1572.3213250366334"/>
    <x v="1"/>
  </r>
  <r>
    <s v="Regular"/>
    <x v="3"/>
    <x v="1"/>
    <x v="1"/>
    <x v="1"/>
    <x v="1"/>
    <x v="0"/>
    <x v="1"/>
    <x v="6"/>
    <n v="0"/>
    <n v="0"/>
    <n v="24.367000000000001"/>
    <n v="22.904979999999998"/>
    <n v="24.367000000000001"/>
    <n v="22.904979999999998"/>
    <n v="6"/>
    <s v="CATIVO"/>
    <n v="0"/>
    <n v="0"/>
    <n v="61"/>
    <n v="2"/>
    <n v="0"/>
    <n v="462.27"/>
    <n v="221.6"/>
    <m/>
    <n v="496.93189676911004"/>
    <n v="370.68018829502824"/>
    <n v="0"/>
    <n v="999.83161740000173"/>
    <n v="0"/>
    <n v="1268.4662206054736"/>
    <x v="1"/>
  </r>
  <r>
    <s v="Regular"/>
    <x v="3"/>
    <x v="1"/>
    <x v="1"/>
    <x v="1"/>
    <x v="1"/>
    <x v="0"/>
    <x v="1"/>
    <x v="7"/>
    <n v="0"/>
    <n v="0"/>
    <n v="41.77"/>
    <n v="39.263800000000003"/>
    <n v="41.77"/>
    <n v="39.263800000000003"/>
    <n v="6"/>
    <s v="CATIVO"/>
    <n v="0"/>
    <n v="0"/>
    <n v="61"/>
    <n v="2"/>
    <n v="0"/>
    <n v="462.27"/>
    <n v="221.6"/>
    <m/>
    <n v="496.93189676911004"/>
    <n v="370.68018829502824"/>
    <n v="0"/>
    <n v="1713.9149939999998"/>
    <n v="0"/>
    <n v="2174.4094075877433"/>
    <x v="1"/>
  </r>
  <r>
    <s v="Regular"/>
    <x v="3"/>
    <x v="1"/>
    <x v="1"/>
    <x v="1"/>
    <x v="1"/>
    <x v="0"/>
    <x v="1"/>
    <x v="8"/>
    <n v="0"/>
    <n v="0"/>
    <n v="37.753"/>
    <n v="35.487819999999999"/>
    <n v="37.753"/>
    <n v="35.487819999999999"/>
    <n v="6"/>
    <s v="CATIVO"/>
    <n v="0"/>
    <n v="0"/>
    <n v="61"/>
    <n v="2"/>
    <n v="0"/>
    <n v="462.27"/>
    <n v="221.6"/>
    <m/>
    <n v="496.93189676911004"/>
    <n v="370.68018829502824"/>
    <n v="0"/>
    <n v="1549.0886466000006"/>
    <n v="0"/>
    <n v="1965.2975428455857"/>
    <x v="1"/>
  </r>
  <r>
    <s v="Regular"/>
    <x v="3"/>
    <x v="1"/>
    <x v="1"/>
    <x v="1"/>
    <x v="1"/>
    <x v="0"/>
    <x v="1"/>
    <x v="9"/>
    <n v="0"/>
    <n v="0"/>
    <n v="20.911000000000001"/>
    <n v="19.65634"/>
    <n v="20.911000000000001"/>
    <n v="19.65634"/>
    <n v="6"/>
    <s v="CATIVO"/>
    <n v="0"/>
    <n v="0"/>
    <n v="61"/>
    <n v="2"/>
    <n v="0"/>
    <n v="462.27"/>
    <n v="221.6"/>
    <m/>
    <n v="496.93189676911004"/>
    <n v="370.68018829502824"/>
    <n v="0"/>
    <n v="858.02433420000079"/>
    <n v="0"/>
    <n v="1088.5581786465727"/>
    <x v="1"/>
  </r>
  <r>
    <s v="Regular"/>
    <x v="3"/>
    <x v="1"/>
    <x v="1"/>
    <x v="1"/>
    <x v="1"/>
    <x v="0"/>
    <x v="1"/>
    <x v="10"/>
    <n v="0"/>
    <n v="0"/>
    <n v="28.986999999999998"/>
    <n v="27.247779999999999"/>
    <n v="28.986999999999998"/>
    <n v="27.247779999999999"/>
    <n v="6"/>
    <s v="CATIVO"/>
    <n v="0"/>
    <n v="0"/>
    <n v="61"/>
    <n v="2"/>
    <n v="0"/>
    <n v="462.27"/>
    <n v="221.6"/>
    <m/>
    <n v="496.93189676911004"/>
    <n v="370.68018829502824"/>
    <n v="0"/>
    <n v="1189.4003813999998"/>
    <n v="0"/>
    <n v="1508.9682905852501"/>
    <x v="1"/>
  </r>
  <r>
    <s v="Regular"/>
    <x v="3"/>
    <x v="1"/>
    <x v="1"/>
    <x v="1"/>
    <x v="1"/>
    <x v="0"/>
    <x v="1"/>
    <x v="11"/>
    <n v="0"/>
    <n v="0"/>
    <n v="29.271999999999998"/>
    <n v="27.51568"/>
    <n v="29.271999999999998"/>
    <n v="27.51568"/>
    <n v="6"/>
    <s v="CATIVO"/>
    <n v="0"/>
    <n v="0"/>
    <n v="61"/>
    <n v="2"/>
    <n v="0"/>
    <n v="462.27"/>
    <n v="221.6"/>
    <m/>
    <n v="496.93189676911004"/>
    <n v="370.68018829502824"/>
    <n v="0"/>
    <n v="1201.0945583999992"/>
    <n v="0"/>
    <n v="1523.804457239846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592EE-43C2-43A1-A4A7-E23362E10DA4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41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8">
        <item x="0"/>
        <item x="6"/>
        <item x="1"/>
        <item x="5"/>
        <item x="3"/>
        <item x="4"/>
        <item x="2"/>
        <item t="default"/>
      </items>
    </pivotField>
    <pivotField axis="axisRow" showAll="0">
      <items count="9">
        <item x="1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40">
    <i>
      <x/>
    </i>
    <i r="1">
      <x/>
    </i>
    <i r="2">
      <x v="2"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4"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4"/>
    </i>
    <i r="4">
      <x v="3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5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1"/>
    </i>
    <i r="4">
      <x v="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2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190">
    <format dxfId="477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7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7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7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73">
      <pivotArea type="all" dataOnly="0" outline="0" fieldPosition="0"/>
    </format>
    <format dxfId="472">
      <pivotArea outline="0" collapsedLevelsAreSubtotals="1" fieldPosition="0"/>
    </format>
    <format dxfId="471">
      <pivotArea field="16" type="button" dataOnly="0" labelOnly="1" outline="0" axis="axisRow" fieldPosition="0"/>
    </format>
    <format dxfId="470">
      <pivotArea dataOnly="0" labelOnly="1" fieldPosition="0">
        <references count="1">
          <reference field="16" count="0"/>
        </references>
      </pivotArea>
    </format>
    <format dxfId="46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6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6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6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6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1"/>
          </reference>
        </references>
      </pivotArea>
    </format>
    <format dxfId="45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44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3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1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2">
            <x v="0"/>
            <x v="1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40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9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9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81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6" type="button" dataOnly="0" labelOnly="1" outline="0" axis="axisRow" fieldPosition="0"/>
    </format>
    <format dxfId="377">
      <pivotArea dataOnly="0" labelOnly="1" fieldPosition="0">
        <references count="1">
          <reference field="16" count="0"/>
        </references>
      </pivotArea>
    </format>
    <format dxfId="376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37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71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70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6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36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6"/>
          </reference>
          <reference field="16" count="1" selected="0">
            <x v="0"/>
          </reference>
        </references>
      </pivotArea>
    </format>
    <format dxfId="36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36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36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364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1"/>
          </reference>
        </references>
      </pivotArea>
    </format>
    <format dxfId="36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36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35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35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35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35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35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35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35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4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3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3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33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2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2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2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2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25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2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32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2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2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2">
            <x v="0"/>
            <x v="1"/>
          </reference>
          <reference field="16" count="1" selected="0">
            <x v="0"/>
          </reference>
        </references>
      </pivotArea>
    </format>
    <format dxfId="32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1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1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3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0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0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0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0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0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0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9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29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28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28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56E95-4753-4026-841C-BC348C91EF13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09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8">
        <item x="1"/>
        <item x="0"/>
        <item x="2"/>
        <item x="3"/>
        <item x="4"/>
        <item x="5"/>
        <item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1"/>
        <item x="3"/>
        <item x="0"/>
        <item x="4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08">
    <i>
      <x/>
    </i>
    <i r="1">
      <x/>
    </i>
    <i r="2">
      <x v="1"/>
    </i>
    <i r="3">
      <x v="3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3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1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/>
    </i>
    <i r="3">
      <x v="2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 v="1"/>
    </i>
    <i r="4">
      <x v="2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38">
    <format dxfId="287">
      <pivotArea outline="0" collapsedLevelsAreSubtotals="1" fieldPosition="0"/>
    </format>
    <format dxfId="28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31" type="button" dataOnly="0" labelOnly="1" outline="0" axis="axisRow" fieldPosition="0"/>
    </format>
    <format dxfId="282">
      <pivotArea dataOnly="0" labelOnly="1" fieldPosition="0">
        <references count="1">
          <reference field="31" count="0"/>
        </references>
      </pivotArea>
    </format>
    <format dxfId="281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8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78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7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75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7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7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7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7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6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6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6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6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6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26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6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6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6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6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25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5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5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5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5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4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4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4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4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4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4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3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3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3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3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3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2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2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2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2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2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2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1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1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field="31" type="button" dataOnly="0" labelOnly="1" outline="0" axis="axisRow" fieldPosition="0"/>
    </format>
    <format dxfId="214">
      <pivotArea dataOnly="0" labelOnly="1" fieldPosition="0">
        <references count="1">
          <reference field="31" count="0"/>
        </references>
      </pivotArea>
    </format>
    <format dxfId="21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10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0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0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0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0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0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0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0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0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199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19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9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9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9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19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8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8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8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8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7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7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6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D97042-6ED2-4021-A1C1-9A30DDACAB30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4772424-1069-4A55-AFAA-ED49F79DDF0A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9ADEA37-E23F-43DB-A140-5764F802E160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7F8D4-FE2A-4FE2-86ED-1EC50BEFABFA}" name="Efeito" displayName="Efeito" ref="A1:AG300" totalsRowShown="0" headerRowDxfId="546" dataDxfId="545">
  <autoFilter ref="A1:AG300" xr:uid="{2A17F8D4-FE2A-4FE2-86ED-1EC50BEFABFA}"/>
  <tableColumns count="33">
    <tableColumn id="1" xr3:uid="{9C0EF3CD-88FC-4ECD-9856-559C89CC95DE}" name="TipoMercado" dataDxfId="544"/>
    <tableColumn id="2" xr3:uid="{C60538A2-604B-44DB-B602-F13EB457202E}" name="Subgrupo" dataDxfId="543"/>
    <tableColumn id="3" xr3:uid="{A7C19EB0-1B77-464F-AAE5-CB52D61FCEB9}" name="Modalidade" dataDxfId="542"/>
    <tableColumn id="4" xr3:uid="{37D00A72-0D75-4F6D-A8C1-0D74355878F2}" name="Classe" dataDxfId="541"/>
    <tableColumn id="5" xr3:uid="{902E6986-2DBA-40EB-A86E-5F819E1FF742}" name="Subclasse" dataDxfId="540"/>
    <tableColumn id="6" xr3:uid="{14112DB2-97DB-4FD6-BC9D-46C70B78D84F}" name="Detalhe" dataDxfId="539"/>
    <tableColumn id="7" xr3:uid="{C946E292-29EC-46E3-AC0E-00FD80358B44}" name="Agente" dataDxfId="538"/>
    <tableColumn id="8" xr3:uid="{65F4A981-3504-4FDD-AC40-B87CBDC47AA0}" name="Posto" dataDxfId="537"/>
    <tableColumn id="9" xr3:uid="{EF41E4AA-6FB3-41BF-BEC6-91205F0538BD}" name="AnoMes" dataDxfId="536"/>
    <tableColumn id="10" xr3:uid="{20ED64DF-8510-42A6-A841-5E737C8DF01E}" name="D" dataDxfId="535"/>
    <tableColumn id="11" xr3:uid="{7125ADD7-0F1E-43E3-9279-C84AB54AC9AB}" name="Daj" dataDxfId="534"/>
    <tableColumn id="12" xr3:uid="{F9E05092-6A6A-4239-8E2D-599A6ED21E7C}" name="TUSD_E" dataDxfId="533"/>
    <tableColumn id="13" xr3:uid="{1CC71E1A-3940-47C6-9237-DC0126524EE3}" name="TUSD_Eaj" dataDxfId="532"/>
    <tableColumn id="14" xr3:uid="{7D805268-791C-4BFF-9F28-F26E5AC63604}" name="TE_E" dataDxfId="531"/>
    <tableColumn id="15" xr3:uid="{2C80929C-4F73-42F9-BB22-8111A1D7DB36}" name="TE_Eaj" dataDxfId="530"/>
    <tableColumn id="16" xr3:uid="{D6939E32-2755-4F66-8E51-C0B52C59FDC5}" name="UC" dataDxfId="529"/>
    <tableColumn id="17" xr3:uid="{82BC7895-9C19-4DE4-ABC5-72FB76C0D91C}" name="OPÇÃO" dataDxfId="528"/>
    <tableColumn id="18" xr3:uid="{48E43A91-7F97-49D6-8F86-DB35F0A577EC}" name="CóD. AUX." dataDxfId="527"/>
    <tableColumn id="19" xr3:uid="{B070949A-209A-4CA2-839D-EB995B2E1DC1}" name="CóD. AUX. TUSD R$/kW" dataDxfId="526"/>
    <tableColumn id="20" xr3:uid="{68ED444D-C6BD-4AEA-991C-6BA3294C5F49}" name="CóD. AUX. TUSD R$/MWh" dataDxfId="525"/>
    <tableColumn id="21" xr3:uid="{5772C04E-2065-4787-B694-1D82477A3E02}" name="CóD. AUX. TE R$/MWh" dataDxfId="524"/>
    <tableColumn id="22" xr3:uid="{C1E52283-8798-4F2B-B1C6-C1CFBA8E3EDB}" name="TUSD (R$/kW)" dataDxfId="523"/>
    <tableColumn id="23" xr3:uid="{489F9323-A211-46D1-ACF1-147B147369B4}" name="TUSD (R$/MWh)" dataDxfId="522"/>
    <tableColumn id="24" xr3:uid="{B4062871-1FD1-47D9-A935-DC38BCD44358}" name="TE (R$/MWh)" dataDxfId="521"/>
    <tableColumn id="25" xr3:uid="{EFA6E568-CC8B-45E7-AED2-204100C5CD76}" name="TUSD (R$/kW) NOVA" dataDxfId="520"/>
    <tableColumn id="26" xr3:uid="{A833DA15-5CC6-42E5-BF2B-856CE2EE6304}" name="TUSD (R$/MWh) NOVA" dataDxfId="519">
      <calculatedColumnFormula>('TUSD BE'!$AM$50+'TUSD BF'!$AM$50+'TUSD CVA'!$AM$50)*1</calculatedColumnFormula>
    </tableColumn>
    <tableColumn id="27" xr3:uid="{09FD6BC0-41E6-4099-B8F2-D03097916C0F}" name="TE (R$/MWh) NOVA" dataDxfId="518">
      <calculatedColumnFormula>('TE BE'!$AB$41+'TE BF'!$AB$41+'TE CVA'!$AB$41)*1</calculatedColumnFormula>
    </tableColumn>
    <tableColumn id="28" xr3:uid="{2FCBF49E-1A2A-4343-B346-1908FC2FD695}" name="RA0 ou RV - TUSD (kW)" dataDxfId="517"/>
    <tableColumn id="29" xr3:uid="{79ED0957-3A72-4449-AFCB-91281356EB46}" name="RA0 ou RV - TUSD (MWh)" dataDxfId="516"/>
    <tableColumn id="30" xr3:uid="{B6DA0082-7EE3-4118-B38B-C703066E085B}" name="RA0 ou RV - TE (MWh)" dataDxfId="515"/>
    <tableColumn id="31" xr3:uid="{C386E924-306B-4695-9FD3-0ED1D157B58F}" name="RA1 ou RRD - TUSD (kW)" dataDxfId="514"/>
    <tableColumn id="32" xr3:uid="{0CCEC4A6-75AD-4EF4-9B46-42CB509D225B}" name="RA1 ou RRD - TUSD (MWh)" dataDxfId="513"/>
    <tableColumn id="33" xr3:uid="{C7FF6C98-9789-4BEC-8E93-89956F0D54DD}" name="RA1 ou RRD - TE (MWh)" dataDxfId="5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B0153-D141-43F1-AA59-E924780E007A}" name="Subsidio" displayName="Subsidio" ref="A1:AF168" totalsRowShown="0" headerRowDxfId="511" dataDxfId="510">
  <autoFilter ref="A1:AF168" xr:uid="{5DDB0153-D141-43F1-AA59-E924780E007A}"/>
  <tableColumns count="32">
    <tableColumn id="1" xr3:uid="{E6D7028F-8571-4AC8-A238-CE046C89245D}" name="TipoMercado" dataDxfId="509"/>
    <tableColumn id="2" xr3:uid="{CF61AF81-1E29-430C-9AD0-E0BB8D24BC45}" name="Subgrupo" dataDxfId="508"/>
    <tableColumn id="3" xr3:uid="{F841F1C4-B555-4F97-BA96-B5BC02566476}" name="Modalidade" dataDxfId="507"/>
    <tableColumn id="4" xr3:uid="{ECC9ED88-A0DB-412C-AF6F-B6D1072B1DC9}" name="Classe" dataDxfId="506"/>
    <tableColumn id="5" xr3:uid="{814495B3-CE7B-4AFD-AD61-E21F5AF513A1}" name="Subclasse" dataDxfId="505"/>
    <tableColumn id="6" xr3:uid="{07119E16-265F-4F20-952D-4053314E3F04}" name="Detalhe" dataDxfId="504"/>
    <tableColumn id="7" xr3:uid="{D2F52DFB-2280-4C6E-ABB1-70B616F04609}" name="Agente" dataDxfId="503"/>
    <tableColumn id="8" xr3:uid="{7E67E072-63DB-4A31-8270-41E45A71B6A1}" name="Posto" dataDxfId="502"/>
    <tableColumn id="9" xr3:uid="{05E22B6A-8E53-4A65-A2CD-B91807208701}" name="AnoMes" dataDxfId="501"/>
    <tableColumn id="10" xr3:uid="{2311734C-26D6-4D6B-A41C-B52EE75F4632}" name="D" dataDxfId="500"/>
    <tableColumn id="11" xr3:uid="{EBB35ADE-88A4-4307-8716-4203889AF0E4}" name="Daj" dataDxfId="499"/>
    <tableColumn id="12" xr3:uid="{2FE20B21-40C6-4C45-BEEC-00860CC2D5C4}" name="TUSD_E" dataDxfId="498"/>
    <tableColumn id="13" xr3:uid="{FBA99619-D45B-48C0-BF03-61D8C3CD4977}" name="TUSD_Eaj" dataDxfId="497"/>
    <tableColumn id="14" xr3:uid="{6F1D2070-ADC1-48A4-9B85-FBEF1B5BD948}" name="TE_E" dataDxfId="496"/>
    <tableColumn id="15" xr3:uid="{5D5F6BBC-D298-4B2B-BC44-5A355413BAA6}" name="TE_Eaj" dataDxfId="495"/>
    <tableColumn id="16" xr3:uid="{CAC1F999-19AA-4B5F-A8F1-A4F2F1736832}" name="UC" dataDxfId="494"/>
    <tableColumn id="17" xr3:uid="{5A207A03-3E20-41BC-9AF1-037B9C6859FD}" name="OPÇÃO" dataDxfId="493"/>
    <tableColumn id="18" xr3:uid="{3CBCA91E-C7C1-40D5-9353-8DDE27390D4D}" name="CóD. AUX." dataDxfId="492"/>
    <tableColumn id="19" xr3:uid="{ACABE0BB-9BDC-4B43-B9A2-9C346B2CA2E2}" name="CóD. AUX. TUSD R$/kW" dataDxfId="491"/>
    <tableColumn id="20" xr3:uid="{9DB8EB37-2DBB-41E8-AF0C-3DFD572A79A3}" name="CóD. AUX. TUSD R$/MWh" dataDxfId="490"/>
    <tableColumn id="21" xr3:uid="{C52C7F3F-7E46-4F29-B705-E2D4A28B82F3}" name="CóD. AUX. TE R$/MWh" dataDxfId="489"/>
    <tableColumn id="22" xr3:uid="{73C9EA5A-F9B8-4FB0-A813-C0DF4AB04C28}" name="TUSD (R$/kW)" dataDxfId="488"/>
    <tableColumn id="23" xr3:uid="{589D0BCF-C771-412C-A65F-8B8DAEFD78F8}" name="TUSD (R$/MWh)" dataDxfId="487"/>
    <tableColumn id="24" xr3:uid="{A9B4D428-063F-4980-A548-4C7257A11D4E}" name="TE (R$/MWh)" dataDxfId="486"/>
    <tableColumn id="25" xr3:uid="{F58036AE-D000-4B85-A42B-90C34BC2AD95}" name="TUSD (R$/kW) NOVA" dataDxfId="485"/>
    <tableColumn id="26" xr3:uid="{CC4F2932-32F9-444F-A8EF-FB514EB0DDC4}" name="TUSD (R$/MWh) NOVA" dataDxfId="484">
      <calculatedColumnFormula>('TUSD BE'!$AM$48+'TUSD BF'!$AM$48+'TUSD CVA'!$AM$48)*1</calculatedColumnFormula>
    </tableColumn>
    <tableColumn id="27" xr3:uid="{EC042D5D-E8FD-4977-BDE2-171F918573D0}" name="TE (R$/MWh) NOVA" dataDxfId="483">
      <calculatedColumnFormula>('TE BE'!$AB$39+'TE BF'!$AB$39+'TE CVA'!$AB$39)*1</calculatedColumnFormula>
    </tableColumn>
    <tableColumn id="28" xr3:uid="{6850EB47-1EAF-41B7-A2AF-E3EB9A39A458}" name="SUBSIDIO kW - TV" dataDxfId="482">
      <calculatedColumnFormula>(J2-K2)*V2</calculatedColumnFormula>
    </tableColumn>
    <tableColumn id="29" xr3:uid="{B0B8FF74-5F1C-4CAC-BCB8-773C19B8A8A2}" name="SUBSIDIO MWh - TV" dataDxfId="481">
      <calculatedColumnFormula>(L2-M2)*W2+(N2-O2)*X2</calculatedColumnFormula>
    </tableColumn>
    <tableColumn id="30" xr3:uid="{719AD269-0F10-4CB0-BDFA-84A1D4AECCEC}" name="SUBSIDIO kW - TN" dataDxfId="480">
      <calculatedColumnFormula>(J2-K2)*Y2</calculatedColumnFormula>
    </tableColumn>
    <tableColumn id="31" xr3:uid="{5278DE90-C7C3-4518-86A8-BA852A52D66A}" name="SUBSIDIO MWh - TN" dataDxfId="479">
      <calculatedColumnFormula>(L2-M2)*Z2+(N2-O2)*AA2</calculatedColumnFormula>
    </tableColumn>
    <tableColumn id="32" xr3:uid="{AA0B304E-D706-4ED5-A236-5ED005AA13C0}" name="TIPO" dataDxfId="4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6A610-2625-4423-87B9-D12B6A9318BF}" name="TabelaFin" displayName="TabelaFin" ref="B3:AT50" tableType="queryTable" totalsRowShown="0" headerRowDxfId="101" dataDxfId="100" headerRowBorderDxfId="148" tableBorderDxfId="149" totalsRowBorderDxfId="147">
  <autoFilter ref="B3:AT50" xr:uid="{F496A610-2625-4423-87B9-D12B6A9318BF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02A51F3A-9F17-4372-88E5-52491310C6EC}" uniqueName="46" name="SUBGRUPO" queryTableFieldId="1" dataDxfId="146"/>
    <tableColumn id="47" xr3:uid="{0DC67F92-6CEC-48D8-860E-545FCD9F187E}" uniqueName="47" name="MODALIDADE" queryTableFieldId="2" dataDxfId="145"/>
    <tableColumn id="48" xr3:uid="{525D5384-0D91-4B29-A81F-C4387201C090}" uniqueName="48" name="CLASSE" queryTableFieldId="3" dataDxfId="144"/>
    <tableColumn id="49" xr3:uid="{12645DD0-83B4-4111-83E2-D4EE343538CB}" uniqueName="49" name="SUBCLASSE" queryTableFieldId="4" dataDxfId="143"/>
    <tableColumn id="50" xr3:uid="{AD886BAB-C6C1-45D3-91D7-73C03E7E6E0D}" uniqueName="50" name="DETALHE" queryTableFieldId="5" dataDxfId="142"/>
    <tableColumn id="51" xr3:uid="{6B153785-A52C-4AD9-83C5-3B8F274B4890}" uniqueName="51" name="POSTO" queryTableFieldId="6" dataDxfId="141"/>
    <tableColumn id="52" xr3:uid="{03F0BC47-CD0D-4165-ADEC-AEB912DD472D}" uniqueName="52" name="UNIDADE" queryTableFieldId="7" dataDxfId="140"/>
    <tableColumn id="53" xr3:uid="{F8817A37-4655-448F-928C-46B0D7992F66}" uniqueName="53" name="ACESSANTE" queryTableFieldId="8" dataDxfId="139"/>
    <tableColumn id="54" xr3:uid="{445E7851-6C4A-4EA0-947C-16E0F6A5CA83}" uniqueName="54" name="Total TUSD" queryTableFieldId="9" dataDxfId="138"/>
    <tableColumn id="55" xr3:uid="{19425005-505F-487A-B028-3FBB087A7373}" uniqueName="55" name="Total TE" queryTableFieldId="10" dataDxfId="137"/>
    <tableColumn id="56" xr3:uid="{D29E801D-6878-44F1-A7C8-3C1905E23C86}" uniqueName="56" name="TUSD_CDE_COVID" queryTableFieldId="11" dataDxfId="136"/>
    <tableColumn id="57" xr3:uid="{C338B031-4C71-4B59-8E75-8570691AEB46}" uniqueName="57" name="TUSD_TFSEE" queryTableFieldId="12" dataDxfId="135"/>
    <tableColumn id="58" xr3:uid="{9FD1CB9C-D889-4702-B34A-B44464B34B2F}" uniqueName="58" name="TUSD_PeD" queryTableFieldId="13" dataDxfId="134"/>
    <tableColumn id="59" xr3:uid="{52A727EB-F3DC-4C51-A5BA-5F80C1479DE3}" uniqueName="59" name="TUSD_ONS" queryTableFieldId="14" dataDxfId="133"/>
    <tableColumn id="60" xr3:uid="{330300DC-B534-45D2-A7C1-AAE11E81D6AD}" uniqueName="60" name="TUSD_CCC" queryTableFieldId="15" dataDxfId="132"/>
    <tableColumn id="61" xr3:uid="{BF5F491D-074C-47AC-9CEF-929444277322}" uniqueName="61" name="TUSD_CDE" queryTableFieldId="16" dataDxfId="131"/>
    <tableColumn id="62" xr3:uid="{E50AEC9E-BA2E-43EB-87AC-28E159E3422A}" uniqueName="62" name="TUSD_PROINFA" queryTableFieldId="17" dataDxfId="130"/>
    <tableColumn id="63" xr3:uid="{3D551BA2-443F-4796-ACF2-F9DBDD04A24D}" uniqueName="63" name="Liminar1" queryTableFieldId="18" dataDxfId="129"/>
    <tableColumn id="64" xr3:uid="{6E3F20BD-BD44-4905-AC6C-7F8290B7719D}" uniqueName="64" name="TUSD_RB" queryTableFieldId="19" dataDxfId="128"/>
    <tableColumn id="65" xr3:uid="{E43C2991-4EF2-44D5-ABF9-4C2E4CF6459D}" uniqueName="65" name="TUSD_FR" queryTableFieldId="20" dataDxfId="127"/>
    <tableColumn id="66" xr3:uid="{237E40E9-5032-409E-97EA-416ACDF9ADF3}" uniqueName="66" name="TUSD_CCT" queryTableFieldId="21" dataDxfId="126"/>
    <tableColumn id="67" xr3:uid="{E429865B-274D-4BEB-A123-DA376386F0D5}" uniqueName="67" name="TUSD_CCD" queryTableFieldId="22" dataDxfId="125"/>
    <tableColumn id="68" xr3:uid="{C15B42C7-6AEF-4343-812C-43EF49D51A3C}" uniqueName="68" name="TUSD_CUSD" queryTableFieldId="23" dataDxfId="124"/>
    <tableColumn id="69" xr3:uid="{5AEA3A34-AD24-408D-A8AC-79F8D2E0EEB0}" uniqueName="69" name="TUSDG_T" queryTableFieldId="24" dataDxfId="123"/>
    <tableColumn id="70" xr3:uid="{5C681E0F-E1EA-448B-8F6F-CDA7798818DC}" uniqueName="70" name="TUSDG_ONS" queryTableFieldId="25" dataDxfId="122"/>
    <tableColumn id="71" xr3:uid="{24A3FC7C-E97E-48AA-8334-A5DBD54DA9D9}" uniqueName="71" name="TUSD_FioB" queryTableFieldId="26" dataDxfId="121"/>
    <tableColumn id="72" xr3:uid="{73C0ED38-F491-4229-9A4E-8BCE1C050BED}" uniqueName="72" name="TUSD Subsidio" queryTableFieldId="27" dataDxfId="120"/>
    <tableColumn id="73" xr3:uid="{CC223A1B-E96B-4FE4-9474-EB1EEA2BE35C}" uniqueName="73" name="TUSD BENEFICIO_L14299" queryTableFieldId="28" dataDxfId="119"/>
    <tableColumn id="74" xr3:uid="{96C840A9-A785-4A3F-A927-E1FF47282FE4}" uniqueName="74" name="TUSD Outros" queryTableFieldId="29" dataDxfId="118"/>
    <tableColumn id="75" xr3:uid="{49A43F27-2C1B-4ABF-9D73-78DC11BF35A3}" uniqueName="75" name="TUSD_PT" queryTableFieldId="30" dataDxfId="117"/>
    <tableColumn id="76" xr3:uid="{4653EF3F-EC70-4B82-A3CC-C1E5210C2EE0}" uniqueName="76" name="TUSD_Per_RB_D" queryTableFieldId="31" dataDxfId="116"/>
    <tableColumn id="77" xr3:uid="{3D3B1A04-4E22-45A5-A3AD-9D63B0523D8E}" uniqueName="77" name="TUSD_PNT" queryTableFieldId="32" dataDxfId="115"/>
    <tableColumn id="78" xr3:uid="{48E0BC79-83C2-4E6E-AFA9-5A127BD8A467}" uniqueName="78" name="TUSD_RI" queryTableFieldId="33" dataDxfId="114"/>
    <tableColumn id="79" xr3:uid="{82B79041-C3DF-4AAA-8516-6262B64A7F51}" uniqueName="79" name="TE_CDE_COVID" queryTableFieldId="34" dataDxfId="113"/>
    <tableColumn id="80" xr3:uid="{99BE7D9C-BC5C-4E2D-B554-57EF79B3F7F2}" uniqueName="80" name="TE_CDE_ELET" queryTableFieldId="35" dataDxfId="112"/>
    <tableColumn id="81" xr3:uid="{6C904446-493A-4822-9E69-9255B5BB81C7}" uniqueName="81" name="TE_PeD" queryTableFieldId="36" dataDxfId="111"/>
    <tableColumn id="82" xr3:uid="{BDFB152F-908D-4C45-B482-67DA6A59E35B}" uniqueName="82" name="TE_ESSERR" queryTableFieldId="37" dataDxfId="110"/>
    <tableColumn id="83" xr3:uid="{03EAC073-ACF2-4553-B75B-F6F0CEEB1B17}" uniqueName="83" name="TE_CFURH" queryTableFieldId="38" dataDxfId="109"/>
    <tableColumn id="84" xr3:uid="{0950526C-977A-4AB2-A37D-32461AC7C5C8}" uniqueName="84" name="TE_ENERGIA" queryTableFieldId="39" dataDxfId="108"/>
    <tableColumn id="85" xr3:uid="{F6D0FA35-77A1-4EA2-819E-EBA19770314B}" uniqueName="85" name="TE_TRANSPORTE_ITAIPU" queryTableFieldId="40" dataDxfId="107"/>
    <tableColumn id="86" xr3:uid="{B4E7F028-CE19-4FC5-BCA5-7BF2D5E34CC3}" uniqueName="86" name="TE_TUST_ITAIPU" queryTableFieldId="41" dataDxfId="106"/>
    <tableColumn id="87" xr3:uid="{81960E43-B3A8-4B2D-BEAD-69539F2B2707}" uniqueName="87" name="TE_TUST_CI" queryTableFieldId="42" dataDxfId="105"/>
    <tableColumn id="88" xr3:uid="{CEE628D1-E282-4E4F-A765-D524DC8BCCD4}" uniqueName="88" name="TE Subsidio" queryTableFieldId="43" dataDxfId="104"/>
    <tableColumn id="89" xr3:uid="{8E04954A-805E-4D2F-A291-19B9253527CF}" uniqueName="89" name="TE BENEFICIO_L14299" queryTableFieldId="44" dataDxfId="103"/>
    <tableColumn id="90" xr3:uid="{4392EC21-8710-4F4E-8B1D-6FBEC7DB17A0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E81676-EFC0-404A-8269-433785E1C72C}" name="TabelaEc" displayName="TabelaEc" ref="B3:AT50" tableType="queryTable" totalsRowShown="0" headerRowDxfId="51" dataDxfId="50" headerRowBorderDxfId="98" tableBorderDxfId="99" totalsRowBorderDxfId="97">
  <autoFilter ref="B3:AT50" xr:uid="{71E81676-EFC0-404A-8269-433785E1C72C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F0498C7F-6C90-47E9-A0B7-94F32D36BBAA}" uniqueName="46" name="SUBGRUPO" queryTableFieldId="1" dataDxfId="96"/>
    <tableColumn id="47" xr3:uid="{BA3289D9-FF64-4C94-9386-13CE6E077DF0}" uniqueName="47" name="MODALIDADE" queryTableFieldId="2" dataDxfId="95"/>
    <tableColumn id="48" xr3:uid="{6B0A63AB-ADC0-43B4-9B05-D5096266CD75}" uniqueName="48" name="CLASSE" queryTableFieldId="3" dataDxfId="94"/>
    <tableColumn id="49" xr3:uid="{7AB56186-D5F9-48CC-B41C-716284576883}" uniqueName="49" name="SUBCLASSE" queryTableFieldId="4" dataDxfId="93"/>
    <tableColumn id="50" xr3:uid="{8D029334-8969-42FE-8372-8F91F47833A9}" uniqueName="50" name="DETALHE" queryTableFieldId="5" dataDxfId="92"/>
    <tableColumn id="51" xr3:uid="{81A584CE-2460-4FA4-9E4C-226B3E465532}" uniqueName="51" name="POSTO" queryTableFieldId="6" dataDxfId="91"/>
    <tableColumn id="52" xr3:uid="{9F3721C6-FAED-4303-ACCD-1A8B7B28059C}" uniqueName="52" name="UNIDADE" queryTableFieldId="7" dataDxfId="90"/>
    <tableColumn id="53" xr3:uid="{BE5354D8-4887-480A-93C9-458ECB9A4520}" uniqueName="53" name="ACESSANTE" queryTableFieldId="8" dataDxfId="89"/>
    <tableColumn id="54" xr3:uid="{741E33D9-A44B-4571-8DC8-95BD48F315AC}" uniqueName="54" name="Total TUSD" queryTableFieldId="9" dataDxfId="88"/>
    <tableColumn id="55" xr3:uid="{056BE5FE-8A0B-4572-BB96-7286B315C393}" uniqueName="55" name="Total TE" queryTableFieldId="10" dataDxfId="87"/>
    <tableColumn id="56" xr3:uid="{AECAAA95-7471-4813-87B5-6FF7DDA75B2B}" uniqueName="56" name="TUSD_CDE_COVID" queryTableFieldId="11" dataDxfId="86"/>
    <tableColumn id="57" xr3:uid="{BED25A01-CBA1-4A60-9BA5-55FF6F54B217}" uniqueName="57" name="TUSD_TFSEE" queryTableFieldId="12" dataDxfId="85"/>
    <tableColumn id="58" xr3:uid="{DC4B09A6-B128-4DC3-8EEB-95989D98A3C8}" uniqueName="58" name="TUSD_PeD" queryTableFieldId="13" dataDxfId="84"/>
    <tableColumn id="59" xr3:uid="{4DE69249-B015-46F3-B67B-5A7DE6BBF0D5}" uniqueName="59" name="TUSD_ONS" queryTableFieldId="14" dataDxfId="83"/>
    <tableColumn id="60" xr3:uid="{2D9AC60F-1CFD-46A8-9D4A-F4863295F53F}" uniqueName="60" name="TUSD_CCC" queryTableFieldId="15" dataDxfId="82"/>
    <tableColumn id="61" xr3:uid="{D7EA79F9-CDD1-4891-97C6-DB25F908B2B1}" uniqueName="61" name="TUSD_CDE" queryTableFieldId="16" dataDxfId="81"/>
    <tableColumn id="62" xr3:uid="{C701A9C4-4516-4454-9B00-97927626C607}" uniqueName="62" name="TUSD_PROINFA" queryTableFieldId="17" dataDxfId="80"/>
    <tableColumn id="63" xr3:uid="{FB8CC0C7-D199-4BC8-8DF5-89DB054F6E86}" uniqueName="63" name="Liminar1" queryTableFieldId="18" dataDxfId="79"/>
    <tableColumn id="64" xr3:uid="{D88A71F0-E3BC-48AE-BF2E-7B29D0512D8E}" uniqueName="64" name="TUSD_RB" queryTableFieldId="19" dataDxfId="78"/>
    <tableColumn id="65" xr3:uid="{9F7E3A90-74CB-4957-989B-FE97FBADA359}" uniqueName="65" name="TUSD_FR" queryTableFieldId="20" dataDxfId="77"/>
    <tableColumn id="66" xr3:uid="{CDAB766B-C8AD-468B-A950-36E0F9947968}" uniqueName="66" name="TUSD_CCT" queryTableFieldId="21" dataDxfId="76"/>
    <tableColumn id="67" xr3:uid="{C77AECDB-68C9-4441-8C38-D333FDF6C61F}" uniqueName="67" name="TUSD_CCD" queryTableFieldId="22" dataDxfId="75"/>
    <tableColumn id="68" xr3:uid="{35200288-CF8A-405C-929B-A1090ACF2D42}" uniqueName="68" name="TUSD_CUSD" queryTableFieldId="23" dataDxfId="74"/>
    <tableColumn id="69" xr3:uid="{90279F57-0CE0-4748-8D60-0031FB688684}" uniqueName="69" name="TUSDG_T" queryTableFieldId="24" dataDxfId="73"/>
    <tableColumn id="70" xr3:uid="{2FF54FAC-C3CC-47FF-8AE5-C3B47D427679}" uniqueName="70" name="TUSDG_ONS" queryTableFieldId="25" dataDxfId="72"/>
    <tableColumn id="71" xr3:uid="{971094F3-6893-40D7-83F0-FEF4D3D17368}" uniqueName="71" name="TUSD_FioB" queryTableFieldId="26" dataDxfId="71"/>
    <tableColumn id="72" xr3:uid="{DDBB279F-FEE2-44D0-8CE6-C6D5710697AC}" uniqueName="72" name="TUSD Subsidio" queryTableFieldId="27" dataDxfId="70"/>
    <tableColumn id="73" xr3:uid="{BB765EB1-27CA-424A-B108-BF202180523C}" uniqueName="73" name="TUSD BENEFICIO_L14299" queryTableFieldId="28" dataDxfId="69"/>
    <tableColumn id="74" xr3:uid="{7FB04D48-3E6F-43C7-8078-DE42F4CAA5A8}" uniqueName="74" name="TUSD Outros" queryTableFieldId="29" dataDxfId="68"/>
    <tableColumn id="75" xr3:uid="{3DB7D5AF-41B9-4343-8FE8-72036BDAF628}" uniqueName="75" name="TUSD_PT" queryTableFieldId="30" dataDxfId="67"/>
    <tableColumn id="76" xr3:uid="{A13A00EF-5029-4FED-967B-AE481E96EFAE}" uniqueName="76" name="TUSD_Per_RB_D" queryTableFieldId="31" dataDxfId="66"/>
    <tableColumn id="77" xr3:uid="{BE09FE3F-A40E-4BFD-848C-B1D003B9B632}" uniqueName="77" name="TUSD_PNT" queryTableFieldId="32" dataDxfId="65"/>
    <tableColumn id="78" xr3:uid="{1F9642BD-8027-4963-9182-01FD8B1D464B}" uniqueName="78" name="TUSD_RI" queryTableFieldId="33" dataDxfId="64"/>
    <tableColumn id="79" xr3:uid="{0245F46C-0BDA-40DD-B0D2-F66F0D6CE7C4}" uniqueName="79" name="TE_CDE_COVID" queryTableFieldId="34" dataDxfId="63"/>
    <tableColumn id="80" xr3:uid="{44DF6FB0-BA0C-40C9-B56F-E1213DF3F76C}" uniqueName="80" name="TE_CDE_ELET" queryTableFieldId="35" dataDxfId="62"/>
    <tableColumn id="81" xr3:uid="{6CC822E6-F4AB-4070-BE44-26D8D236FF4F}" uniqueName="81" name="TE_PeD" queryTableFieldId="36" dataDxfId="61"/>
    <tableColumn id="82" xr3:uid="{A5722F1F-B53A-473A-8A95-FDAFFD6BA869}" uniqueName="82" name="TE_ESSERR" queryTableFieldId="37" dataDxfId="60"/>
    <tableColumn id="83" xr3:uid="{56CBDF4E-A3E0-4FDB-A67F-A85DF1DC7581}" uniqueName="83" name="TE_CFURH" queryTableFieldId="38" dataDxfId="59"/>
    <tableColumn id="84" xr3:uid="{F5723918-52BA-41EA-8F93-8BA28395A30F}" uniqueName="84" name="TE_ENERGIA" queryTableFieldId="39" dataDxfId="58"/>
    <tableColumn id="85" xr3:uid="{D287B6A2-1BB0-4DF2-82A0-24FB3D190BC9}" uniqueName="85" name="TE_TRANSPORTE_ITAIPU" queryTableFieldId="40" dataDxfId="57"/>
    <tableColumn id="86" xr3:uid="{760DCF20-1029-4FEB-AAE4-947EA9816F23}" uniqueName="86" name="TE_TUST_ITAIPU" queryTableFieldId="41" dataDxfId="56"/>
    <tableColumn id="87" xr3:uid="{CAB96246-DF2C-49B4-B614-59DB73AEB86D}" uniqueName="87" name="TE_TUST_CI" queryTableFieldId="42" dataDxfId="55"/>
    <tableColumn id="88" xr3:uid="{689F7005-8D48-4ED8-911D-6B1F34069EEB}" uniqueName="88" name="TE Subsidio" queryTableFieldId="43" dataDxfId="54"/>
    <tableColumn id="89" xr3:uid="{CD173CEB-C1B9-43B6-9B3F-F87544F559E7}" uniqueName="89" name="TE BENEFICIO_L14299" queryTableFieldId="44" dataDxfId="53"/>
    <tableColumn id="90" xr3:uid="{A20136C5-930D-489C-B7AB-520BBB5D9467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8F28A-80B4-4592-9F3C-E792A1F7B70F}" name="TabelaCVA" displayName="TabelaCVA" ref="B3:AT50" tableType="queryTable" totalsRowShown="0" headerRowDxfId="1" dataDxfId="0" headerRowBorderDxfId="48" tableBorderDxfId="49" totalsRowBorderDxfId="47">
  <autoFilter ref="B3:AT50" xr:uid="{7BB8F28A-80B4-4592-9F3C-E792A1F7B70F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10285DDB-2A56-4861-87FD-6A2920C6581E}" uniqueName="46" name="SUBGRUPO" queryTableFieldId="1" dataDxfId="46"/>
    <tableColumn id="47" xr3:uid="{D875BAAD-2925-4520-82F4-8D7C4CF3097F}" uniqueName="47" name="MODALIDADE" queryTableFieldId="2" dataDxfId="45"/>
    <tableColumn id="48" xr3:uid="{8E37C32C-221E-4CFB-BEF7-94D54EE7DEE3}" uniqueName="48" name="CLASSE" queryTableFieldId="3" dataDxfId="44"/>
    <tableColumn id="49" xr3:uid="{1C24BD0A-59DB-4A47-B871-13FF5A1D9B9D}" uniqueName="49" name="SUBCLASSE" queryTableFieldId="4" dataDxfId="43"/>
    <tableColumn id="50" xr3:uid="{9CC6953A-A7D6-4295-9D37-371B1655A7B7}" uniqueName="50" name="DETALHE" queryTableFieldId="5" dataDxfId="42"/>
    <tableColumn id="51" xr3:uid="{2C92881B-2C28-42CD-97D5-02CB2F91B574}" uniqueName="51" name="POSTO" queryTableFieldId="6" dataDxfId="41"/>
    <tableColumn id="52" xr3:uid="{F0ADD30E-9369-4D33-BB0D-3851EDA64730}" uniqueName="52" name="UNIDADE" queryTableFieldId="7" dataDxfId="40"/>
    <tableColumn id="53" xr3:uid="{728C0037-2309-4CDF-B8B2-6F48E1C1E1F9}" uniqueName="53" name="ACESSANTE" queryTableFieldId="8" dataDxfId="39"/>
    <tableColumn id="54" xr3:uid="{C2345CC5-E9DC-4F0C-989C-26D81314BDB9}" uniqueName="54" name="Total TUSD" queryTableFieldId="9" dataDxfId="38"/>
    <tableColumn id="55" xr3:uid="{DBC35693-A202-4B94-8295-DA27CF4C6EB2}" uniqueName="55" name="Total TE" queryTableFieldId="10" dataDxfId="37"/>
    <tableColumn id="56" xr3:uid="{3748C340-C4C1-4B78-843B-67C7686AC983}" uniqueName="56" name="TUSD_CDE_COVID" queryTableFieldId="11" dataDxfId="36"/>
    <tableColumn id="57" xr3:uid="{DA930F16-BDE4-4380-8FE2-45AC76A6DCC7}" uniqueName="57" name="TUSD_TFSEE" queryTableFieldId="12" dataDxfId="35"/>
    <tableColumn id="58" xr3:uid="{68D03B4C-2043-45EE-BF54-4A357B6A1FE7}" uniqueName="58" name="TUSD_PeD" queryTableFieldId="13" dataDxfId="34"/>
    <tableColumn id="59" xr3:uid="{F47A9F6D-88B1-4E92-BDF3-B24EDF558B28}" uniqueName="59" name="TUSD_ONS" queryTableFieldId="14" dataDxfId="33"/>
    <tableColumn id="60" xr3:uid="{CCD8EBC8-BDE3-4ABE-BB87-6C85B568DE97}" uniqueName="60" name="TUSD_CCC" queryTableFieldId="15" dataDxfId="32"/>
    <tableColumn id="61" xr3:uid="{22BA5C7D-A83B-4D58-B025-01A42F6562CE}" uniqueName="61" name="TUSD_CDE" queryTableFieldId="16" dataDxfId="31"/>
    <tableColumn id="62" xr3:uid="{07C5E457-E766-4D7C-BF5A-F7D7B6614E3F}" uniqueName="62" name="TUSD_PROINFA" queryTableFieldId="17" dataDxfId="30"/>
    <tableColumn id="63" xr3:uid="{CDFA8B1D-9695-4E56-9F27-F4915B7A1205}" uniqueName="63" name="Liminar1" queryTableFieldId="18" dataDxfId="29"/>
    <tableColumn id="64" xr3:uid="{586C4C50-CFBA-4C23-99D4-66810E93F1F4}" uniqueName="64" name="TUSD_RB" queryTableFieldId="19" dataDxfId="28"/>
    <tableColumn id="65" xr3:uid="{AD2CA939-4AF1-460F-A9FB-24412838C0A4}" uniqueName="65" name="TUSD_FR" queryTableFieldId="20" dataDxfId="27"/>
    <tableColumn id="66" xr3:uid="{640939DA-FE11-4C8A-BDD9-339AE0555196}" uniqueName="66" name="TUSD_CCT" queryTableFieldId="21" dataDxfId="26"/>
    <tableColumn id="67" xr3:uid="{65A75B42-96B7-4FDD-84EE-565D127D2A13}" uniqueName="67" name="TUSD_CCD" queryTableFieldId="22" dataDxfId="25"/>
    <tableColumn id="68" xr3:uid="{14DECB2E-F4B7-4182-AF28-F0547DE30630}" uniqueName="68" name="TUSD_CUSD" queryTableFieldId="23" dataDxfId="24"/>
    <tableColumn id="69" xr3:uid="{B261F58B-A1B0-4F31-B0EE-333D1B4DFDDF}" uniqueName="69" name="TUSDG_T" queryTableFieldId="24" dataDxfId="23"/>
    <tableColumn id="70" xr3:uid="{5C7C9286-6145-4645-AFA6-1E249A058990}" uniqueName="70" name="TUSDG_ONS" queryTableFieldId="25" dataDxfId="22"/>
    <tableColumn id="71" xr3:uid="{B3B135ED-8DB5-456D-A76A-F1D91DB1B253}" uniqueName="71" name="TUSD_FioB" queryTableFieldId="26" dataDxfId="21"/>
    <tableColumn id="72" xr3:uid="{74BA1411-3BE5-4FF4-B8A8-1D42AAFC5C95}" uniqueName="72" name="TUSD Subsidio" queryTableFieldId="27" dataDxfId="20"/>
    <tableColumn id="73" xr3:uid="{51E9C2A3-3009-4B31-B087-C6B266978728}" uniqueName="73" name="TUSD BENEFICIO_L14299" queryTableFieldId="28" dataDxfId="19"/>
    <tableColumn id="74" xr3:uid="{27AC9E92-428D-4134-A043-BCD8165F7D33}" uniqueName="74" name="TUSD Outros" queryTableFieldId="29" dataDxfId="18"/>
    <tableColumn id="75" xr3:uid="{C32242CC-55E4-4A73-8E85-2C9F5D8FB101}" uniqueName="75" name="TUSD_PT" queryTableFieldId="30" dataDxfId="17"/>
    <tableColumn id="76" xr3:uid="{8FF64E03-03C9-4128-9B57-9E266F80C6E5}" uniqueName="76" name="TUSD_Per_RB_D" queryTableFieldId="31" dataDxfId="16"/>
    <tableColumn id="77" xr3:uid="{7D57738A-54A7-4E7E-BE23-20434DB0DDFD}" uniqueName="77" name="TUSD_PNT" queryTableFieldId="32" dataDxfId="15"/>
    <tableColumn id="78" xr3:uid="{5DB19B7E-8ED0-40A4-B2BB-AD1AB9B49EFB}" uniqueName="78" name="TUSD_RI" queryTableFieldId="33" dataDxfId="14"/>
    <tableColumn id="79" xr3:uid="{C3A68EA7-CC94-45F8-ACF6-F21C62390BF9}" uniqueName="79" name="TE_CDE_COVID" queryTableFieldId="34" dataDxfId="13"/>
    <tableColumn id="80" xr3:uid="{60F67ECD-E875-4A98-AAFA-6FE3AA8C4828}" uniqueName="80" name="TE_CDE_ELET" queryTableFieldId="35" dataDxfId="12"/>
    <tableColumn id="81" xr3:uid="{BEFC5962-BA9D-4F49-937A-30AC25B11EE1}" uniqueName="81" name="TE_PeD" queryTableFieldId="36" dataDxfId="11"/>
    <tableColumn id="82" xr3:uid="{579EE425-525F-4124-8914-07AD91D1D208}" uniqueName="82" name="TE_ESSERR" queryTableFieldId="37" dataDxfId="10"/>
    <tableColumn id="83" xr3:uid="{AAD4EBC3-1651-4816-88AA-944D4F8074AC}" uniqueName="83" name="TE_CFURH" queryTableFieldId="38" dataDxfId="9"/>
    <tableColumn id="84" xr3:uid="{B62171F5-8548-4B6F-B15F-0E3BDBE29857}" uniqueName="84" name="TE_ENERGIA" queryTableFieldId="39" dataDxfId="8"/>
    <tableColumn id="85" xr3:uid="{A2945691-9D88-4D37-A84D-D41A79646F9E}" uniqueName="85" name="TE_TRANSPORTE_ITAIPU" queryTableFieldId="40" dataDxfId="7"/>
    <tableColumn id="86" xr3:uid="{5C02FF91-2A98-4F75-98CF-AE8D85145852}" uniqueName="86" name="TE_TUST_ITAIPU" queryTableFieldId="41" dataDxfId="6"/>
    <tableColumn id="87" xr3:uid="{5029B1B6-FDAC-4B41-AFD1-4AAD2591CB15}" uniqueName="87" name="TE_TUST_CI" queryTableFieldId="42" dataDxfId="5"/>
    <tableColumn id="88" xr3:uid="{6C64EC0A-1D35-477A-BA27-A9EB72D8A0EB}" uniqueName="88" name="TE Subsidio" queryTableFieldId="43" dataDxfId="4"/>
    <tableColumn id="89" xr3:uid="{12F5F321-62F7-4C55-A196-E993478E5233}" uniqueName="89" name="TE BENEFICIO_L14299" queryTableFieldId="44" dataDxfId="3"/>
    <tableColumn id="90" xr3:uid="{EB8227C7-336B-43C4-BB38-4F836FBFE91A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D582-15A6-4496-941A-016312D6A366}">
  <dimension ref="A1:W300"/>
  <sheetViews>
    <sheetView showGridLines="0" topLeftCell="I267" workbookViewId="0">
      <selection activeCell="T301" sqref="T301"/>
    </sheetView>
  </sheetViews>
  <sheetFormatPr defaultRowHeight="11.25" customHeight="1" x14ac:dyDescent="0.3"/>
  <cols>
    <col min="1" max="1" width="18.5546875" style="4" bestFit="1" customWidth="1"/>
    <col min="2" max="2" width="8.44140625" style="4" bestFit="1" customWidth="1"/>
    <col min="3" max="3" width="10" style="4" bestFit="1" customWidth="1"/>
    <col min="4" max="4" width="13.21875" style="4" bestFit="1" customWidth="1"/>
    <col min="5" max="5" width="24.44140625" style="4" bestFit="1" customWidth="1"/>
    <col min="6" max="6" width="12.88671875" style="4" bestFit="1" customWidth="1"/>
    <col min="7" max="8" width="10" style="4" bestFit="1" customWidth="1"/>
    <col min="9" max="9" width="8.44140625" style="5" bestFit="1" customWidth="1"/>
    <col min="10" max="11" width="6.77734375" style="6" bestFit="1" customWidth="1"/>
    <col min="12" max="12" width="6.5546875" style="6" bestFit="1" customWidth="1"/>
    <col min="13" max="13" width="7.77734375" style="6" bestFit="1" customWidth="1"/>
    <col min="14" max="14" width="5.5546875" style="6" bestFit="1" customWidth="1"/>
    <col min="15" max="15" width="5.6640625" style="6" bestFit="1" customWidth="1"/>
    <col min="16" max="16" width="6.77734375" style="6" bestFit="1" customWidth="1"/>
    <col min="17" max="17" width="6.33203125" style="4" bestFit="1" customWidth="1"/>
    <col min="18" max="18" width="8.33203125" style="4" bestFit="1" customWidth="1"/>
    <col min="19" max="19" width="76" style="4" bestFit="1" customWidth="1"/>
    <col min="20" max="20" width="81.5546875" style="4" bestFit="1" customWidth="1"/>
    <col min="21" max="21" width="17.88671875" style="4" bestFit="1" customWidth="1"/>
    <col min="22" max="22" width="19.33203125" style="4" bestFit="1" customWidth="1"/>
    <col min="23" max="23" width="17.21875" style="4" bestFit="1" customWidth="1"/>
    <col min="24" max="16384" width="8.886718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88</v>
      </c>
      <c r="T1" s="1" t="s">
        <v>245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38</v>
      </c>
      <c r="C2" s="4" t="s">
        <v>39</v>
      </c>
      <c r="D2" s="4" t="s">
        <v>37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44440</v>
      </c>
      <c r="J2" s="6">
        <v>0</v>
      </c>
      <c r="K2" s="6">
        <v>0</v>
      </c>
      <c r="L2" s="6">
        <v>17.443999999999999</v>
      </c>
      <c r="M2" s="6">
        <v>17.443999999999999</v>
      </c>
      <c r="N2" s="6">
        <v>17.443999999999999</v>
      </c>
      <c r="O2" s="6">
        <v>17.443999999999999</v>
      </c>
      <c r="P2" s="6">
        <v>0</v>
      </c>
      <c r="Q2" s="4" t="s">
        <v>26</v>
      </c>
      <c r="R2" s="4">
        <v>0</v>
      </c>
      <c r="S2" s="4" t="s">
        <v>89</v>
      </c>
      <c r="T2" s="4" t="s">
        <v>246</v>
      </c>
      <c r="U2" s="4">
        <v>0</v>
      </c>
      <c r="V2" s="4">
        <v>40</v>
      </c>
      <c r="W2" s="4">
        <v>65</v>
      </c>
    </row>
    <row r="3" spans="1:23" ht="11.25" customHeight="1" x14ac:dyDescent="0.3">
      <c r="A3" s="4" t="s">
        <v>21</v>
      </c>
      <c r="B3" s="4" t="s">
        <v>38</v>
      </c>
      <c r="C3" s="4" t="s">
        <v>39</v>
      </c>
      <c r="D3" s="4" t="s">
        <v>37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44470</v>
      </c>
      <c r="J3" s="6">
        <v>0</v>
      </c>
      <c r="K3" s="6">
        <v>0</v>
      </c>
      <c r="L3" s="6">
        <v>22.548999999999999</v>
      </c>
      <c r="M3" s="6">
        <v>22.548999999999999</v>
      </c>
      <c r="N3" s="6">
        <v>22.548999999999999</v>
      </c>
      <c r="O3" s="6">
        <v>22.548999999999999</v>
      </c>
      <c r="P3" s="6">
        <v>0</v>
      </c>
      <c r="Q3" s="4" t="s">
        <v>26</v>
      </c>
      <c r="R3" s="4">
        <v>0</v>
      </c>
      <c r="S3" s="4" t="s">
        <v>90</v>
      </c>
      <c r="T3" s="4" t="s">
        <v>247</v>
      </c>
      <c r="U3" s="4">
        <v>0</v>
      </c>
      <c r="V3" s="4">
        <v>40</v>
      </c>
      <c r="W3" s="4">
        <v>65</v>
      </c>
    </row>
    <row r="4" spans="1:23" ht="11.25" customHeight="1" x14ac:dyDescent="0.3">
      <c r="A4" s="4" t="s">
        <v>21</v>
      </c>
      <c r="B4" s="4" t="s">
        <v>38</v>
      </c>
      <c r="C4" s="4" t="s">
        <v>39</v>
      </c>
      <c r="D4" s="4" t="s">
        <v>37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44501</v>
      </c>
      <c r="J4" s="6">
        <v>0</v>
      </c>
      <c r="K4" s="6">
        <v>0</v>
      </c>
      <c r="L4" s="6">
        <v>20.863</v>
      </c>
      <c r="M4" s="6">
        <v>20.863</v>
      </c>
      <c r="N4" s="6">
        <v>20.863</v>
      </c>
      <c r="O4" s="6">
        <v>20.863</v>
      </c>
      <c r="P4" s="6">
        <v>0</v>
      </c>
      <c r="Q4" s="4" t="s">
        <v>26</v>
      </c>
      <c r="R4" s="4">
        <v>0</v>
      </c>
      <c r="S4" s="4" t="s">
        <v>91</v>
      </c>
      <c r="T4" s="4" t="s">
        <v>248</v>
      </c>
      <c r="U4" s="4">
        <v>0</v>
      </c>
      <c r="V4" s="4">
        <v>40</v>
      </c>
      <c r="W4" s="4">
        <v>65</v>
      </c>
    </row>
    <row r="5" spans="1:23" ht="11.25" customHeight="1" x14ac:dyDescent="0.3">
      <c r="A5" s="4" t="s">
        <v>21</v>
      </c>
      <c r="B5" s="4" t="s">
        <v>38</v>
      </c>
      <c r="C5" s="4" t="s">
        <v>39</v>
      </c>
      <c r="D5" s="4" t="s">
        <v>37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44531</v>
      </c>
      <c r="J5" s="6">
        <v>0</v>
      </c>
      <c r="K5" s="6">
        <v>0</v>
      </c>
      <c r="L5" s="6">
        <v>18.707999999999998</v>
      </c>
      <c r="M5" s="6">
        <v>18.707999999999998</v>
      </c>
      <c r="N5" s="6">
        <v>18.707999999999998</v>
      </c>
      <c r="O5" s="6">
        <v>18.707999999999998</v>
      </c>
      <c r="P5" s="6">
        <v>0</v>
      </c>
      <c r="Q5" s="4" t="s">
        <v>26</v>
      </c>
      <c r="R5" s="4">
        <v>0</v>
      </c>
      <c r="S5" s="4" t="s">
        <v>92</v>
      </c>
      <c r="T5" s="4" t="s">
        <v>249</v>
      </c>
      <c r="U5" s="4">
        <v>0</v>
      </c>
      <c r="V5" s="4">
        <v>40</v>
      </c>
      <c r="W5" s="4">
        <v>65</v>
      </c>
    </row>
    <row r="6" spans="1:23" ht="11.25" customHeight="1" x14ac:dyDescent="0.3">
      <c r="A6" s="4" t="s">
        <v>21</v>
      </c>
      <c r="B6" s="4" t="s">
        <v>38</v>
      </c>
      <c r="C6" s="4" t="s">
        <v>39</v>
      </c>
      <c r="D6" s="4" t="s">
        <v>37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44562</v>
      </c>
      <c r="J6" s="6">
        <v>0</v>
      </c>
      <c r="K6" s="6">
        <v>0</v>
      </c>
      <c r="L6" s="6">
        <v>20.568999999999999</v>
      </c>
      <c r="M6" s="6">
        <v>20.568999999999999</v>
      </c>
      <c r="N6" s="6">
        <v>20.568999999999999</v>
      </c>
      <c r="O6" s="6">
        <v>20.568999999999999</v>
      </c>
      <c r="P6" s="6">
        <v>0</v>
      </c>
      <c r="Q6" s="4" t="s">
        <v>26</v>
      </c>
      <c r="R6" s="4">
        <v>0</v>
      </c>
      <c r="S6" s="4" t="s">
        <v>93</v>
      </c>
      <c r="T6" s="4" t="s">
        <v>250</v>
      </c>
      <c r="U6" s="4">
        <v>0</v>
      </c>
      <c r="V6" s="4">
        <v>40</v>
      </c>
      <c r="W6" s="4">
        <v>65</v>
      </c>
    </row>
    <row r="7" spans="1:23" ht="11.25" customHeight="1" x14ac:dyDescent="0.3">
      <c r="A7" s="4" t="s">
        <v>21</v>
      </c>
      <c r="B7" s="4" t="s">
        <v>38</v>
      </c>
      <c r="C7" s="4" t="s">
        <v>39</v>
      </c>
      <c r="D7" s="4" t="s">
        <v>37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44593</v>
      </c>
      <c r="J7" s="6">
        <v>0</v>
      </c>
      <c r="K7" s="6">
        <v>0</v>
      </c>
      <c r="L7" s="6">
        <v>20.474</v>
      </c>
      <c r="M7" s="6">
        <v>20.474</v>
      </c>
      <c r="N7" s="6">
        <v>20.474</v>
      </c>
      <c r="O7" s="6">
        <v>20.474</v>
      </c>
      <c r="P7" s="6">
        <v>0</v>
      </c>
      <c r="Q7" s="4" t="s">
        <v>26</v>
      </c>
      <c r="R7" s="4">
        <v>0</v>
      </c>
      <c r="S7" s="4" t="s">
        <v>94</v>
      </c>
      <c r="T7" s="4" t="s">
        <v>251</v>
      </c>
      <c r="U7" s="4">
        <v>0</v>
      </c>
      <c r="V7" s="4">
        <v>40</v>
      </c>
      <c r="W7" s="4">
        <v>65</v>
      </c>
    </row>
    <row r="8" spans="1:23" ht="11.25" customHeight="1" x14ac:dyDescent="0.3">
      <c r="A8" s="4" t="s">
        <v>21</v>
      </c>
      <c r="B8" s="4" t="s">
        <v>38</v>
      </c>
      <c r="C8" s="4" t="s">
        <v>39</v>
      </c>
      <c r="D8" s="4" t="s">
        <v>37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44621</v>
      </c>
      <c r="J8" s="6">
        <v>0</v>
      </c>
      <c r="K8" s="6">
        <v>0</v>
      </c>
      <c r="L8" s="6">
        <v>20.995000000000001</v>
      </c>
      <c r="M8" s="6">
        <v>20.995000000000001</v>
      </c>
      <c r="N8" s="6">
        <v>20.995000000000001</v>
      </c>
      <c r="O8" s="6">
        <v>20.995000000000001</v>
      </c>
      <c r="P8" s="6">
        <v>0</v>
      </c>
      <c r="Q8" s="4" t="s">
        <v>26</v>
      </c>
      <c r="R8" s="4">
        <v>0</v>
      </c>
      <c r="S8" s="4" t="s">
        <v>95</v>
      </c>
      <c r="T8" s="4" t="s">
        <v>252</v>
      </c>
      <c r="U8" s="4">
        <v>0</v>
      </c>
      <c r="V8" s="4">
        <v>40</v>
      </c>
      <c r="W8" s="4">
        <v>65</v>
      </c>
    </row>
    <row r="9" spans="1:23" ht="11.25" customHeight="1" x14ac:dyDescent="0.3">
      <c r="A9" s="4" t="s">
        <v>21</v>
      </c>
      <c r="B9" s="4" t="s">
        <v>38</v>
      </c>
      <c r="C9" s="4" t="s">
        <v>39</v>
      </c>
      <c r="D9" s="4" t="s">
        <v>37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44652</v>
      </c>
      <c r="J9" s="6">
        <v>0</v>
      </c>
      <c r="K9" s="6">
        <v>0</v>
      </c>
      <c r="L9" s="6">
        <v>17.364000000000001</v>
      </c>
      <c r="M9" s="6">
        <v>17.364000000000001</v>
      </c>
      <c r="N9" s="6">
        <v>17.364000000000001</v>
      </c>
      <c r="O9" s="6">
        <v>17.364000000000001</v>
      </c>
      <c r="P9" s="6">
        <v>0</v>
      </c>
      <c r="Q9" s="4" t="s">
        <v>26</v>
      </c>
      <c r="R9" s="4">
        <v>0</v>
      </c>
      <c r="S9" s="4" t="s">
        <v>96</v>
      </c>
      <c r="T9" s="4" t="s">
        <v>253</v>
      </c>
      <c r="U9" s="4">
        <v>0</v>
      </c>
      <c r="V9" s="4">
        <v>40</v>
      </c>
      <c r="W9" s="4">
        <v>65</v>
      </c>
    </row>
    <row r="10" spans="1:23" ht="11.25" customHeight="1" x14ac:dyDescent="0.3">
      <c r="A10" s="4" t="s">
        <v>21</v>
      </c>
      <c r="B10" s="4" t="s">
        <v>38</v>
      </c>
      <c r="C10" s="4" t="s">
        <v>39</v>
      </c>
      <c r="D10" s="4" t="s">
        <v>37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44682</v>
      </c>
      <c r="J10" s="6">
        <v>0</v>
      </c>
      <c r="K10" s="6">
        <v>0</v>
      </c>
      <c r="L10" s="6">
        <v>22.233000000000001</v>
      </c>
      <c r="M10" s="6">
        <v>22.233000000000001</v>
      </c>
      <c r="N10" s="6">
        <v>22.233000000000001</v>
      </c>
      <c r="O10" s="6">
        <v>22.233000000000001</v>
      </c>
      <c r="P10" s="6">
        <v>0</v>
      </c>
      <c r="Q10" s="4" t="s">
        <v>26</v>
      </c>
      <c r="R10" s="4">
        <v>0</v>
      </c>
      <c r="S10" s="4" t="s">
        <v>97</v>
      </c>
      <c r="T10" s="4" t="s">
        <v>254</v>
      </c>
      <c r="U10" s="4">
        <v>0</v>
      </c>
      <c r="V10" s="4">
        <v>40</v>
      </c>
      <c r="W10" s="4">
        <v>65</v>
      </c>
    </row>
    <row r="11" spans="1:23" ht="11.25" customHeight="1" x14ac:dyDescent="0.3">
      <c r="A11" s="4" t="s">
        <v>21</v>
      </c>
      <c r="B11" s="4" t="s">
        <v>38</v>
      </c>
      <c r="C11" s="4" t="s">
        <v>39</v>
      </c>
      <c r="D11" s="4" t="s">
        <v>37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44713</v>
      </c>
      <c r="J11" s="6">
        <v>0</v>
      </c>
      <c r="K11" s="6">
        <v>0</v>
      </c>
      <c r="L11" s="6">
        <v>21.067</v>
      </c>
      <c r="M11" s="6">
        <v>21.067</v>
      </c>
      <c r="N11" s="6">
        <v>21.067</v>
      </c>
      <c r="O11" s="6">
        <v>21.067</v>
      </c>
      <c r="P11" s="6">
        <v>0</v>
      </c>
      <c r="Q11" s="4" t="s">
        <v>26</v>
      </c>
      <c r="R11" s="4">
        <v>0</v>
      </c>
      <c r="S11" s="4" t="s">
        <v>98</v>
      </c>
      <c r="T11" s="4" t="s">
        <v>255</v>
      </c>
      <c r="U11" s="4">
        <v>0</v>
      </c>
      <c r="V11" s="4">
        <v>40</v>
      </c>
      <c r="W11" s="4">
        <v>65</v>
      </c>
    </row>
    <row r="12" spans="1:23" ht="11.25" customHeight="1" x14ac:dyDescent="0.3">
      <c r="A12" s="4" t="s">
        <v>21</v>
      </c>
      <c r="B12" s="4" t="s">
        <v>38</v>
      </c>
      <c r="C12" s="4" t="s">
        <v>39</v>
      </c>
      <c r="D12" s="4" t="s">
        <v>37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44743</v>
      </c>
      <c r="J12" s="6">
        <v>0</v>
      </c>
      <c r="K12" s="6">
        <v>0</v>
      </c>
      <c r="L12" s="6">
        <v>18.992000000000001</v>
      </c>
      <c r="M12" s="6">
        <v>18.992000000000001</v>
      </c>
      <c r="N12" s="6">
        <v>18.992000000000001</v>
      </c>
      <c r="O12" s="6">
        <v>18.992000000000001</v>
      </c>
      <c r="P12" s="6">
        <v>0</v>
      </c>
      <c r="Q12" s="4" t="s">
        <v>26</v>
      </c>
      <c r="R12" s="4">
        <v>0</v>
      </c>
      <c r="S12" s="4" t="s">
        <v>99</v>
      </c>
      <c r="T12" s="4" t="s">
        <v>256</v>
      </c>
      <c r="U12" s="4">
        <v>0</v>
      </c>
      <c r="V12" s="4">
        <v>40</v>
      </c>
      <c r="W12" s="4">
        <v>65</v>
      </c>
    </row>
    <row r="13" spans="1:23" ht="11.25" customHeight="1" x14ac:dyDescent="0.3">
      <c r="A13" s="4" t="s">
        <v>21</v>
      </c>
      <c r="B13" s="4" t="s">
        <v>38</v>
      </c>
      <c r="C13" s="4" t="s">
        <v>39</v>
      </c>
      <c r="D13" s="4" t="s">
        <v>37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44774</v>
      </c>
      <c r="J13" s="6">
        <v>0</v>
      </c>
      <c r="K13" s="6">
        <v>0</v>
      </c>
      <c r="L13" s="6">
        <v>23.460999999999999</v>
      </c>
      <c r="M13" s="6">
        <v>23.460999999999999</v>
      </c>
      <c r="N13" s="6">
        <v>23.460999999999999</v>
      </c>
      <c r="O13" s="6">
        <v>23.460999999999999</v>
      </c>
      <c r="P13" s="6">
        <v>0</v>
      </c>
      <c r="Q13" s="4" t="s">
        <v>26</v>
      </c>
      <c r="R13" s="4">
        <v>0</v>
      </c>
      <c r="S13" s="4" t="s">
        <v>100</v>
      </c>
      <c r="T13" s="4" t="s">
        <v>257</v>
      </c>
      <c r="U13" s="4">
        <v>0</v>
      </c>
      <c r="V13" s="4">
        <v>40</v>
      </c>
      <c r="W13" s="4">
        <v>65</v>
      </c>
    </row>
    <row r="14" spans="1:23" ht="11.25" customHeight="1" x14ac:dyDescent="0.3">
      <c r="A14" s="4" t="s">
        <v>21</v>
      </c>
      <c r="B14" s="4" t="s">
        <v>38</v>
      </c>
      <c r="C14" s="4" t="s">
        <v>39</v>
      </c>
      <c r="D14" s="4" t="s">
        <v>37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44440</v>
      </c>
      <c r="J14" s="6">
        <v>110</v>
      </c>
      <c r="K14" s="6">
        <v>110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26</v>
      </c>
      <c r="R14" s="4">
        <v>0</v>
      </c>
      <c r="S14" s="4" t="s">
        <v>101</v>
      </c>
      <c r="U14" s="4">
        <v>47</v>
      </c>
      <c r="V14" s="4">
        <v>0</v>
      </c>
      <c r="W14" s="4">
        <v>0</v>
      </c>
    </row>
    <row r="15" spans="1:23" ht="11.25" customHeight="1" x14ac:dyDescent="0.3">
      <c r="A15" s="4" t="s">
        <v>21</v>
      </c>
      <c r="B15" s="4" t="s">
        <v>38</v>
      </c>
      <c r="C15" s="4" t="s">
        <v>39</v>
      </c>
      <c r="D15" s="4" t="s">
        <v>37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44470</v>
      </c>
      <c r="J15" s="6">
        <v>200</v>
      </c>
      <c r="K15" s="6">
        <v>200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26</v>
      </c>
      <c r="R15" s="4">
        <v>0</v>
      </c>
      <c r="S15" s="4" t="s">
        <v>102</v>
      </c>
      <c r="U15" s="4">
        <v>47</v>
      </c>
      <c r="V15" s="4">
        <v>0</v>
      </c>
      <c r="W15" s="4">
        <v>0</v>
      </c>
    </row>
    <row r="16" spans="1:23" ht="11.25" customHeight="1" x14ac:dyDescent="0.3">
      <c r="A16" s="4" t="s">
        <v>21</v>
      </c>
      <c r="B16" s="4" t="s">
        <v>38</v>
      </c>
      <c r="C16" s="4" t="s">
        <v>39</v>
      </c>
      <c r="D16" s="4" t="s">
        <v>37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44501</v>
      </c>
      <c r="J16" s="6">
        <v>200</v>
      </c>
      <c r="K16" s="6">
        <v>200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26</v>
      </c>
      <c r="R16" s="4">
        <v>0</v>
      </c>
      <c r="S16" s="4" t="s">
        <v>103</v>
      </c>
      <c r="U16" s="4">
        <v>47</v>
      </c>
      <c r="V16" s="4">
        <v>0</v>
      </c>
      <c r="W16" s="4">
        <v>0</v>
      </c>
    </row>
    <row r="17" spans="1:23" ht="11.25" customHeight="1" x14ac:dyDescent="0.3">
      <c r="A17" s="4" t="s">
        <v>21</v>
      </c>
      <c r="B17" s="4" t="s">
        <v>38</v>
      </c>
      <c r="C17" s="4" t="s">
        <v>39</v>
      </c>
      <c r="D17" s="4" t="s">
        <v>37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44531</v>
      </c>
      <c r="J17" s="6">
        <v>200</v>
      </c>
      <c r="K17" s="6">
        <v>200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26</v>
      </c>
      <c r="R17" s="4">
        <v>0</v>
      </c>
      <c r="S17" s="4" t="s">
        <v>104</v>
      </c>
      <c r="U17" s="4">
        <v>47</v>
      </c>
      <c r="V17" s="4">
        <v>0</v>
      </c>
      <c r="W17" s="4">
        <v>0</v>
      </c>
    </row>
    <row r="18" spans="1:23" ht="11.25" customHeight="1" x14ac:dyDescent="0.3">
      <c r="A18" s="4" t="s">
        <v>21</v>
      </c>
      <c r="B18" s="4" t="s">
        <v>38</v>
      </c>
      <c r="C18" s="4" t="s">
        <v>39</v>
      </c>
      <c r="D18" s="4" t="s">
        <v>37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44562</v>
      </c>
      <c r="J18" s="6">
        <v>200</v>
      </c>
      <c r="K18" s="6">
        <v>200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4" t="s">
        <v>105</v>
      </c>
      <c r="U18" s="4">
        <v>47</v>
      </c>
      <c r="V18" s="4">
        <v>0</v>
      </c>
      <c r="W18" s="4">
        <v>0</v>
      </c>
    </row>
    <row r="19" spans="1:23" ht="11.25" customHeight="1" x14ac:dyDescent="0.3">
      <c r="A19" s="4" t="s">
        <v>21</v>
      </c>
      <c r="B19" s="4" t="s">
        <v>38</v>
      </c>
      <c r="C19" s="4" t="s">
        <v>39</v>
      </c>
      <c r="D19" s="4" t="s">
        <v>37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44593</v>
      </c>
      <c r="J19" s="6">
        <v>206</v>
      </c>
      <c r="K19" s="6">
        <v>206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4" t="s">
        <v>106</v>
      </c>
      <c r="U19" s="4">
        <v>47</v>
      </c>
      <c r="V19" s="4">
        <v>0</v>
      </c>
      <c r="W19" s="4">
        <v>0</v>
      </c>
    </row>
    <row r="20" spans="1:23" ht="11.25" customHeight="1" x14ac:dyDescent="0.3">
      <c r="A20" s="4" t="s">
        <v>21</v>
      </c>
      <c r="B20" s="4" t="s">
        <v>38</v>
      </c>
      <c r="C20" s="4" t="s">
        <v>39</v>
      </c>
      <c r="D20" s="4" t="s">
        <v>37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44621</v>
      </c>
      <c r="J20" s="6">
        <v>200</v>
      </c>
      <c r="K20" s="6">
        <v>200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4" t="s">
        <v>107</v>
      </c>
      <c r="U20" s="4">
        <v>47</v>
      </c>
      <c r="V20" s="4">
        <v>0</v>
      </c>
      <c r="W20" s="4">
        <v>0</v>
      </c>
    </row>
    <row r="21" spans="1:23" ht="11.25" customHeight="1" x14ac:dyDescent="0.3">
      <c r="A21" s="4" t="s">
        <v>21</v>
      </c>
      <c r="B21" s="4" t="s">
        <v>38</v>
      </c>
      <c r="C21" s="4" t="s">
        <v>39</v>
      </c>
      <c r="D21" s="4" t="s">
        <v>37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44652</v>
      </c>
      <c r="J21" s="6">
        <v>200</v>
      </c>
      <c r="K21" s="6">
        <v>200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4" t="s">
        <v>108</v>
      </c>
      <c r="U21" s="4">
        <v>47</v>
      </c>
      <c r="V21" s="4">
        <v>0</v>
      </c>
      <c r="W21" s="4">
        <v>0</v>
      </c>
    </row>
    <row r="22" spans="1:23" ht="11.25" customHeight="1" x14ac:dyDescent="0.3">
      <c r="A22" s="4" t="s">
        <v>21</v>
      </c>
      <c r="B22" s="4" t="s">
        <v>38</v>
      </c>
      <c r="C22" s="4" t="s">
        <v>39</v>
      </c>
      <c r="D22" s="4" t="s">
        <v>37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44682</v>
      </c>
      <c r="J22" s="6">
        <v>200</v>
      </c>
      <c r="K22" s="6">
        <v>200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4" t="s">
        <v>109</v>
      </c>
      <c r="U22" s="4">
        <v>47</v>
      </c>
      <c r="V22" s="4">
        <v>0</v>
      </c>
      <c r="W22" s="4">
        <v>0</v>
      </c>
    </row>
    <row r="23" spans="1:23" ht="11.25" customHeight="1" x14ac:dyDescent="0.3">
      <c r="A23" s="4" t="s">
        <v>21</v>
      </c>
      <c r="B23" s="4" t="s">
        <v>38</v>
      </c>
      <c r="C23" s="4" t="s">
        <v>39</v>
      </c>
      <c r="D23" s="4" t="s">
        <v>37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44713</v>
      </c>
      <c r="J23" s="6">
        <v>200</v>
      </c>
      <c r="K23" s="6">
        <v>200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4" t="s">
        <v>110</v>
      </c>
      <c r="U23" s="4">
        <v>47</v>
      </c>
      <c r="V23" s="4">
        <v>0</v>
      </c>
      <c r="W23" s="4">
        <v>0</v>
      </c>
    </row>
    <row r="24" spans="1:23" ht="11.25" customHeight="1" x14ac:dyDescent="0.3">
      <c r="A24" s="4" t="s">
        <v>21</v>
      </c>
      <c r="B24" s="4" t="s">
        <v>38</v>
      </c>
      <c r="C24" s="4" t="s">
        <v>39</v>
      </c>
      <c r="D24" s="4" t="s">
        <v>37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44743</v>
      </c>
      <c r="J24" s="6">
        <v>200</v>
      </c>
      <c r="K24" s="6">
        <v>200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4" t="s">
        <v>111</v>
      </c>
      <c r="U24" s="4">
        <v>47</v>
      </c>
      <c r="V24" s="4">
        <v>0</v>
      </c>
      <c r="W24" s="4">
        <v>0</v>
      </c>
    </row>
    <row r="25" spans="1:23" ht="11.25" customHeight="1" x14ac:dyDescent="0.3">
      <c r="A25" s="4" t="s">
        <v>21</v>
      </c>
      <c r="B25" s="4" t="s">
        <v>38</v>
      </c>
      <c r="C25" s="4" t="s">
        <v>39</v>
      </c>
      <c r="D25" s="4" t="s">
        <v>37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44774</v>
      </c>
      <c r="J25" s="6">
        <v>200</v>
      </c>
      <c r="K25" s="6">
        <v>200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4" t="s">
        <v>112</v>
      </c>
      <c r="U25" s="4">
        <v>47</v>
      </c>
      <c r="V25" s="4">
        <v>0</v>
      </c>
      <c r="W25" s="4">
        <v>0</v>
      </c>
    </row>
    <row r="26" spans="1:23" ht="11.25" customHeight="1" x14ac:dyDescent="0.3">
      <c r="A26" s="4" t="s">
        <v>21</v>
      </c>
      <c r="B26" s="4" t="s">
        <v>38</v>
      </c>
      <c r="C26" s="4" t="s">
        <v>39</v>
      </c>
      <c r="D26" s="4" t="s">
        <v>37</v>
      </c>
      <c r="E26" s="4" t="s">
        <v>25</v>
      </c>
      <c r="F26" s="4" t="s">
        <v>25</v>
      </c>
      <c r="G26" s="4" t="s">
        <v>25</v>
      </c>
      <c r="H26" s="4" t="s">
        <v>40</v>
      </c>
      <c r="I26" s="5">
        <v>44440</v>
      </c>
      <c r="J26" s="6">
        <v>0</v>
      </c>
      <c r="K26" s="6">
        <v>0</v>
      </c>
      <c r="L26" s="6">
        <v>0.94599999999999995</v>
      </c>
      <c r="M26" s="6">
        <v>0.94599999999999995</v>
      </c>
      <c r="N26" s="6">
        <v>0.94599999999999995</v>
      </c>
      <c r="O26" s="6">
        <v>0.94599999999999995</v>
      </c>
      <c r="P26" s="6">
        <v>0</v>
      </c>
      <c r="Q26" s="4" t="s">
        <v>26</v>
      </c>
      <c r="R26" s="4">
        <v>0</v>
      </c>
      <c r="S26" s="4" t="s">
        <v>113</v>
      </c>
      <c r="T26" s="4" t="s">
        <v>262</v>
      </c>
      <c r="U26" s="4">
        <v>0</v>
      </c>
      <c r="V26" s="4">
        <v>35</v>
      </c>
      <c r="W26" s="4">
        <v>79</v>
      </c>
    </row>
    <row r="27" spans="1:23" ht="11.25" customHeight="1" x14ac:dyDescent="0.3">
      <c r="A27" s="4" t="s">
        <v>21</v>
      </c>
      <c r="B27" s="4" t="s">
        <v>38</v>
      </c>
      <c r="C27" s="4" t="s">
        <v>39</v>
      </c>
      <c r="D27" s="4" t="s">
        <v>37</v>
      </c>
      <c r="E27" s="4" t="s">
        <v>25</v>
      </c>
      <c r="F27" s="4" t="s">
        <v>25</v>
      </c>
      <c r="G27" s="4" t="s">
        <v>25</v>
      </c>
      <c r="H27" s="4" t="s">
        <v>40</v>
      </c>
      <c r="I27" s="5">
        <v>44470</v>
      </c>
      <c r="J27" s="6">
        <v>0</v>
      </c>
      <c r="K27" s="6">
        <v>0</v>
      </c>
      <c r="L27" s="6">
        <v>1.093</v>
      </c>
      <c r="M27" s="6">
        <v>1.093</v>
      </c>
      <c r="N27" s="6">
        <v>1.093</v>
      </c>
      <c r="O27" s="6">
        <v>1.093</v>
      </c>
      <c r="P27" s="6">
        <v>0</v>
      </c>
      <c r="Q27" s="4" t="s">
        <v>26</v>
      </c>
      <c r="R27" s="4">
        <v>0</v>
      </c>
      <c r="S27" s="4" t="s">
        <v>114</v>
      </c>
      <c r="T27" s="4" t="s">
        <v>263</v>
      </c>
      <c r="U27" s="4">
        <v>0</v>
      </c>
      <c r="V27" s="4">
        <v>35</v>
      </c>
      <c r="W27" s="4">
        <v>79</v>
      </c>
    </row>
    <row r="28" spans="1:23" ht="11.25" customHeight="1" x14ac:dyDescent="0.3">
      <c r="A28" s="4" t="s">
        <v>21</v>
      </c>
      <c r="B28" s="4" t="s">
        <v>38</v>
      </c>
      <c r="C28" s="4" t="s">
        <v>39</v>
      </c>
      <c r="D28" s="4" t="s">
        <v>37</v>
      </c>
      <c r="E28" s="4" t="s">
        <v>25</v>
      </c>
      <c r="F28" s="4" t="s">
        <v>25</v>
      </c>
      <c r="G28" s="4" t="s">
        <v>25</v>
      </c>
      <c r="H28" s="4" t="s">
        <v>40</v>
      </c>
      <c r="I28" s="5">
        <v>44501</v>
      </c>
      <c r="J28" s="6">
        <v>0</v>
      </c>
      <c r="K28" s="6">
        <v>0</v>
      </c>
      <c r="L28" s="6">
        <v>0.90100000000000002</v>
      </c>
      <c r="M28" s="6">
        <v>0.90100000000000002</v>
      </c>
      <c r="N28" s="6">
        <v>0.90100000000000002</v>
      </c>
      <c r="O28" s="6">
        <v>0.90100000000000002</v>
      </c>
      <c r="P28" s="6">
        <v>0</v>
      </c>
      <c r="Q28" s="4" t="s">
        <v>26</v>
      </c>
      <c r="R28" s="4">
        <v>0</v>
      </c>
      <c r="S28" s="4" t="s">
        <v>115</v>
      </c>
      <c r="T28" s="4" t="s">
        <v>264</v>
      </c>
      <c r="U28" s="4">
        <v>0</v>
      </c>
      <c r="V28" s="4">
        <v>35</v>
      </c>
      <c r="W28" s="4">
        <v>79</v>
      </c>
    </row>
    <row r="29" spans="1:23" ht="11.25" customHeight="1" x14ac:dyDescent="0.3">
      <c r="A29" s="4" t="s">
        <v>21</v>
      </c>
      <c r="B29" s="4" t="s">
        <v>38</v>
      </c>
      <c r="C29" s="4" t="s">
        <v>39</v>
      </c>
      <c r="D29" s="4" t="s">
        <v>37</v>
      </c>
      <c r="E29" s="4" t="s">
        <v>25</v>
      </c>
      <c r="F29" s="4" t="s">
        <v>25</v>
      </c>
      <c r="G29" s="4" t="s">
        <v>25</v>
      </c>
      <c r="H29" s="4" t="s">
        <v>40</v>
      </c>
      <c r="I29" s="5">
        <v>44531</v>
      </c>
      <c r="J29" s="6">
        <v>0</v>
      </c>
      <c r="K29" s="6">
        <v>0</v>
      </c>
      <c r="L29" s="6">
        <v>1.032</v>
      </c>
      <c r="M29" s="6">
        <v>1.032</v>
      </c>
      <c r="N29" s="6">
        <v>1.032</v>
      </c>
      <c r="O29" s="6">
        <v>1.032</v>
      </c>
      <c r="P29" s="6">
        <v>0</v>
      </c>
      <c r="Q29" s="4" t="s">
        <v>26</v>
      </c>
      <c r="R29" s="4">
        <v>0</v>
      </c>
      <c r="S29" s="4" t="s">
        <v>116</v>
      </c>
      <c r="T29" s="4" t="s">
        <v>265</v>
      </c>
      <c r="U29" s="4">
        <v>0</v>
      </c>
      <c r="V29" s="4">
        <v>35</v>
      </c>
      <c r="W29" s="4">
        <v>79</v>
      </c>
    </row>
    <row r="30" spans="1:23" ht="11.25" customHeight="1" x14ac:dyDescent="0.3">
      <c r="A30" s="4" t="s">
        <v>21</v>
      </c>
      <c r="B30" s="4" t="s">
        <v>38</v>
      </c>
      <c r="C30" s="4" t="s">
        <v>39</v>
      </c>
      <c r="D30" s="4" t="s">
        <v>37</v>
      </c>
      <c r="E30" s="4" t="s">
        <v>25</v>
      </c>
      <c r="F30" s="4" t="s">
        <v>25</v>
      </c>
      <c r="G30" s="4" t="s">
        <v>25</v>
      </c>
      <c r="H30" s="4" t="s">
        <v>40</v>
      </c>
      <c r="I30" s="5">
        <v>44562</v>
      </c>
      <c r="J30" s="6">
        <v>0</v>
      </c>
      <c r="K30" s="6">
        <v>0</v>
      </c>
      <c r="L30" s="6">
        <v>0.98199999999999998</v>
      </c>
      <c r="M30" s="6">
        <v>0.98199999999999998</v>
      </c>
      <c r="N30" s="6">
        <v>0.98199999999999998</v>
      </c>
      <c r="O30" s="6">
        <v>0.98199999999999998</v>
      </c>
      <c r="P30" s="6">
        <v>0</v>
      </c>
      <c r="Q30" s="4" t="s">
        <v>26</v>
      </c>
      <c r="R30" s="4">
        <v>0</v>
      </c>
      <c r="S30" s="4" t="s">
        <v>117</v>
      </c>
      <c r="T30" s="4" t="s">
        <v>266</v>
      </c>
      <c r="U30" s="4">
        <v>0</v>
      </c>
      <c r="V30" s="4">
        <v>35</v>
      </c>
      <c r="W30" s="4">
        <v>79</v>
      </c>
    </row>
    <row r="31" spans="1:23" ht="11.25" customHeight="1" x14ac:dyDescent="0.3">
      <c r="A31" s="4" t="s">
        <v>21</v>
      </c>
      <c r="B31" s="4" t="s">
        <v>38</v>
      </c>
      <c r="C31" s="4" t="s">
        <v>39</v>
      </c>
      <c r="D31" s="4" t="s">
        <v>37</v>
      </c>
      <c r="E31" s="4" t="s">
        <v>25</v>
      </c>
      <c r="F31" s="4" t="s">
        <v>25</v>
      </c>
      <c r="G31" s="4" t="s">
        <v>25</v>
      </c>
      <c r="H31" s="4" t="s">
        <v>40</v>
      </c>
      <c r="I31" s="5">
        <v>44593</v>
      </c>
      <c r="J31" s="6">
        <v>0</v>
      </c>
      <c r="K31" s="6">
        <v>0</v>
      </c>
      <c r="L31" s="6">
        <v>0.85699999999999998</v>
      </c>
      <c r="M31" s="6">
        <v>0.85699999999999998</v>
      </c>
      <c r="N31" s="6">
        <v>0.85699999999999998</v>
      </c>
      <c r="O31" s="6">
        <v>0.85699999999999998</v>
      </c>
      <c r="P31" s="6">
        <v>0</v>
      </c>
      <c r="Q31" s="4" t="s">
        <v>26</v>
      </c>
      <c r="R31" s="4">
        <v>0</v>
      </c>
      <c r="S31" s="4" t="s">
        <v>118</v>
      </c>
      <c r="T31" s="4" t="s">
        <v>267</v>
      </c>
      <c r="U31" s="4">
        <v>0</v>
      </c>
      <c r="V31" s="4">
        <v>35</v>
      </c>
      <c r="W31" s="4">
        <v>79</v>
      </c>
    </row>
    <row r="32" spans="1:23" ht="11.25" customHeight="1" x14ac:dyDescent="0.3">
      <c r="A32" s="4" t="s">
        <v>21</v>
      </c>
      <c r="B32" s="4" t="s">
        <v>38</v>
      </c>
      <c r="C32" s="4" t="s">
        <v>39</v>
      </c>
      <c r="D32" s="4" t="s">
        <v>37</v>
      </c>
      <c r="E32" s="4" t="s">
        <v>25</v>
      </c>
      <c r="F32" s="4" t="s">
        <v>25</v>
      </c>
      <c r="G32" s="4" t="s">
        <v>25</v>
      </c>
      <c r="H32" s="4" t="s">
        <v>40</v>
      </c>
      <c r="I32" s="5">
        <v>44621</v>
      </c>
      <c r="J32" s="6">
        <v>0</v>
      </c>
      <c r="K32" s="6">
        <v>0</v>
      </c>
      <c r="L32" s="6">
        <v>1.0409999999999999</v>
      </c>
      <c r="M32" s="6">
        <v>1.0409999999999999</v>
      </c>
      <c r="N32" s="6">
        <v>1.0409999999999999</v>
      </c>
      <c r="O32" s="6">
        <v>1.0409999999999999</v>
      </c>
      <c r="P32" s="6">
        <v>0</v>
      </c>
      <c r="Q32" s="4" t="s">
        <v>26</v>
      </c>
      <c r="R32" s="4">
        <v>0</v>
      </c>
      <c r="S32" s="4" t="s">
        <v>119</v>
      </c>
      <c r="T32" s="4" t="s">
        <v>268</v>
      </c>
      <c r="U32" s="4">
        <v>0</v>
      </c>
      <c r="V32" s="4">
        <v>35</v>
      </c>
      <c r="W32" s="4">
        <v>79</v>
      </c>
    </row>
    <row r="33" spans="1:23" ht="11.25" customHeight="1" x14ac:dyDescent="0.3">
      <c r="A33" s="4" t="s">
        <v>21</v>
      </c>
      <c r="B33" s="4" t="s">
        <v>38</v>
      </c>
      <c r="C33" s="4" t="s">
        <v>39</v>
      </c>
      <c r="D33" s="4" t="s">
        <v>37</v>
      </c>
      <c r="E33" s="4" t="s">
        <v>25</v>
      </c>
      <c r="F33" s="4" t="s">
        <v>25</v>
      </c>
      <c r="G33" s="4" t="s">
        <v>25</v>
      </c>
      <c r="H33" s="4" t="s">
        <v>40</v>
      </c>
      <c r="I33" s="5">
        <v>44652</v>
      </c>
      <c r="J33" s="6">
        <v>0</v>
      </c>
      <c r="K33" s="6">
        <v>0</v>
      </c>
      <c r="L33" s="6">
        <v>0.8</v>
      </c>
      <c r="M33" s="6">
        <v>0.8</v>
      </c>
      <c r="N33" s="6">
        <v>0.8</v>
      </c>
      <c r="O33" s="6">
        <v>0.8</v>
      </c>
      <c r="P33" s="6">
        <v>0</v>
      </c>
      <c r="Q33" s="4" t="s">
        <v>26</v>
      </c>
      <c r="R33" s="4">
        <v>0</v>
      </c>
      <c r="S33" s="4" t="s">
        <v>120</v>
      </c>
      <c r="T33" s="4" t="s">
        <v>269</v>
      </c>
      <c r="U33" s="4">
        <v>0</v>
      </c>
      <c r="V33" s="4">
        <v>35</v>
      </c>
      <c r="W33" s="4">
        <v>79</v>
      </c>
    </row>
    <row r="34" spans="1:23" ht="11.25" customHeight="1" x14ac:dyDescent="0.3">
      <c r="A34" s="4" t="s">
        <v>21</v>
      </c>
      <c r="B34" s="4" t="s">
        <v>38</v>
      </c>
      <c r="C34" s="4" t="s">
        <v>39</v>
      </c>
      <c r="D34" s="4" t="s">
        <v>37</v>
      </c>
      <c r="E34" s="4" t="s">
        <v>25</v>
      </c>
      <c r="F34" s="4" t="s">
        <v>25</v>
      </c>
      <c r="G34" s="4" t="s">
        <v>25</v>
      </c>
      <c r="H34" s="4" t="s">
        <v>40</v>
      </c>
      <c r="I34" s="5">
        <v>44682</v>
      </c>
      <c r="J34" s="6">
        <v>0</v>
      </c>
      <c r="K34" s="6">
        <v>0</v>
      </c>
      <c r="L34" s="6">
        <v>1.1870000000000001</v>
      </c>
      <c r="M34" s="6">
        <v>1.1870000000000001</v>
      </c>
      <c r="N34" s="6">
        <v>1.1870000000000001</v>
      </c>
      <c r="O34" s="6">
        <v>1.1870000000000001</v>
      </c>
      <c r="P34" s="6">
        <v>0</v>
      </c>
      <c r="Q34" s="4" t="s">
        <v>26</v>
      </c>
      <c r="R34" s="4">
        <v>0</v>
      </c>
      <c r="S34" s="4" t="s">
        <v>121</v>
      </c>
      <c r="T34" s="4" t="s">
        <v>270</v>
      </c>
      <c r="U34" s="4">
        <v>0</v>
      </c>
      <c r="V34" s="4">
        <v>35</v>
      </c>
      <c r="W34" s="4">
        <v>79</v>
      </c>
    </row>
    <row r="35" spans="1:23" ht="11.25" customHeight="1" x14ac:dyDescent="0.3">
      <c r="A35" s="4" t="s">
        <v>21</v>
      </c>
      <c r="B35" s="4" t="s">
        <v>38</v>
      </c>
      <c r="C35" s="4" t="s">
        <v>39</v>
      </c>
      <c r="D35" s="4" t="s">
        <v>37</v>
      </c>
      <c r="E35" s="4" t="s">
        <v>25</v>
      </c>
      <c r="F35" s="4" t="s">
        <v>25</v>
      </c>
      <c r="G35" s="4" t="s">
        <v>25</v>
      </c>
      <c r="H35" s="4" t="s">
        <v>40</v>
      </c>
      <c r="I35" s="5">
        <v>44713</v>
      </c>
      <c r="J35" s="6">
        <v>0</v>
      </c>
      <c r="K35" s="6">
        <v>0</v>
      </c>
      <c r="L35" s="6">
        <v>1.383</v>
      </c>
      <c r="M35" s="6">
        <v>1.383</v>
      </c>
      <c r="N35" s="6">
        <v>1.383</v>
      </c>
      <c r="O35" s="6">
        <v>1.383</v>
      </c>
      <c r="P35" s="6">
        <v>0</v>
      </c>
      <c r="Q35" s="4" t="s">
        <v>26</v>
      </c>
      <c r="R35" s="4">
        <v>0</v>
      </c>
      <c r="S35" s="4" t="s">
        <v>122</v>
      </c>
      <c r="T35" s="4" t="s">
        <v>271</v>
      </c>
      <c r="U35" s="4">
        <v>0</v>
      </c>
      <c r="V35" s="4">
        <v>35</v>
      </c>
      <c r="W35" s="4">
        <v>79</v>
      </c>
    </row>
    <row r="36" spans="1:23" ht="11.25" customHeight="1" x14ac:dyDescent="0.3">
      <c r="A36" s="4" t="s">
        <v>21</v>
      </c>
      <c r="B36" s="4" t="s">
        <v>38</v>
      </c>
      <c r="C36" s="4" t="s">
        <v>39</v>
      </c>
      <c r="D36" s="4" t="s">
        <v>37</v>
      </c>
      <c r="E36" s="4" t="s">
        <v>25</v>
      </c>
      <c r="F36" s="4" t="s">
        <v>25</v>
      </c>
      <c r="G36" s="4" t="s">
        <v>25</v>
      </c>
      <c r="H36" s="4" t="s">
        <v>40</v>
      </c>
      <c r="I36" s="5">
        <v>44743</v>
      </c>
      <c r="J36" s="6">
        <v>0</v>
      </c>
      <c r="K36" s="6">
        <v>0</v>
      </c>
      <c r="L36" s="6">
        <v>1.492</v>
      </c>
      <c r="M36" s="6">
        <v>1.492</v>
      </c>
      <c r="N36" s="6">
        <v>1.492</v>
      </c>
      <c r="O36" s="6">
        <v>1.492</v>
      </c>
      <c r="P36" s="6">
        <v>0</v>
      </c>
      <c r="Q36" s="4" t="s">
        <v>26</v>
      </c>
      <c r="R36" s="4">
        <v>0</v>
      </c>
      <c r="S36" s="4" t="s">
        <v>123</v>
      </c>
      <c r="T36" s="4" t="s">
        <v>272</v>
      </c>
      <c r="U36" s="4">
        <v>0</v>
      </c>
      <c r="V36" s="4">
        <v>35</v>
      </c>
      <c r="W36" s="4">
        <v>79</v>
      </c>
    </row>
    <row r="37" spans="1:23" ht="11.25" customHeight="1" x14ac:dyDescent="0.3">
      <c r="A37" s="4" t="s">
        <v>21</v>
      </c>
      <c r="B37" s="4" t="s">
        <v>38</v>
      </c>
      <c r="C37" s="4" t="s">
        <v>39</v>
      </c>
      <c r="D37" s="4" t="s">
        <v>37</v>
      </c>
      <c r="E37" s="4" t="s">
        <v>25</v>
      </c>
      <c r="F37" s="4" t="s">
        <v>25</v>
      </c>
      <c r="G37" s="4" t="s">
        <v>25</v>
      </c>
      <c r="H37" s="4" t="s">
        <v>40</v>
      </c>
      <c r="I37" s="5">
        <v>44774</v>
      </c>
      <c r="J37" s="6">
        <v>0</v>
      </c>
      <c r="K37" s="6">
        <v>0</v>
      </c>
      <c r="L37" s="6">
        <v>1.9319999999999999</v>
      </c>
      <c r="M37" s="6">
        <v>1.9319999999999999</v>
      </c>
      <c r="N37" s="6">
        <v>1.9319999999999999</v>
      </c>
      <c r="O37" s="6">
        <v>1.9319999999999999</v>
      </c>
      <c r="P37" s="6">
        <v>0</v>
      </c>
      <c r="Q37" s="4" t="s">
        <v>26</v>
      </c>
      <c r="R37" s="4">
        <v>0</v>
      </c>
      <c r="S37" s="4" t="s">
        <v>124</v>
      </c>
      <c r="T37" s="4" t="s">
        <v>273</v>
      </c>
      <c r="U37" s="4">
        <v>0</v>
      </c>
      <c r="V37" s="4">
        <v>35</v>
      </c>
      <c r="W37" s="4">
        <v>79</v>
      </c>
    </row>
    <row r="38" spans="1:23" ht="11.25" customHeight="1" x14ac:dyDescent="0.3">
      <c r="A38" s="4" t="s">
        <v>21</v>
      </c>
      <c r="B38" s="4" t="s">
        <v>38</v>
      </c>
      <c r="C38" s="4" t="s">
        <v>39</v>
      </c>
      <c r="D38" s="4" t="s">
        <v>49</v>
      </c>
      <c r="E38" s="4" t="s">
        <v>25</v>
      </c>
      <c r="F38" s="4" t="s">
        <v>50</v>
      </c>
      <c r="G38" s="4" t="s">
        <v>25</v>
      </c>
      <c r="H38" s="4" t="s">
        <v>34</v>
      </c>
      <c r="I38" s="5">
        <v>44440</v>
      </c>
      <c r="J38" s="6">
        <v>0</v>
      </c>
      <c r="K38" s="6">
        <v>0</v>
      </c>
      <c r="L38" s="6">
        <v>794.00699999999995</v>
      </c>
      <c r="M38" s="6">
        <v>794.00699999999995</v>
      </c>
      <c r="N38" s="6">
        <v>0</v>
      </c>
      <c r="O38" s="6">
        <v>0</v>
      </c>
      <c r="P38" s="6">
        <v>0</v>
      </c>
      <c r="Q38" s="4" t="s">
        <v>51</v>
      </c>
      <c r="R38" s="4">
        <v>0</v>
      </c>
      <c r="S38" s="4" t="s">
        <v>89</v>
      </c>
      <c r="U38" s="4">
        <v>0</v>
      </c>
      <c r="V38" s="4">
        <v>40</v>
      </c>
      <c r="W38" s="4">
        <v>0</v>
      </c>
    </row>
    <row r="39" spans="1:23" ht="11.25" customHeight="1" x14ac:dyDescent="0.3">
      <c r="A39" s="4" t="s">
        <v>21</v>
      </c>
      <c r="B39" s="4" t="s">
        <v>38</v>
      </c>
      <c r="C39" s="4" t="s">
        <v>39</v>
      </c>
      <c r="D39" s="4" t="s">
        <v>49</v>
      </c>
      <c r="E39" s="4" t="s">
        <v>25</v>
      </c>
      <c r="F39" s="4" t="s">
        <v>50</v>
      </c>
      <c r="G39" s="4" t="s">
        <v>25</v>
      </c>
      <c r="H39" s="4" t="s">
        <v>34</v>
      </c>
      <c r="I39" s="5">
        <v>44470</v>
      </c>
      <c r="J39" s="6">
        <v>0</v>
      </c>
      <c r="K39" s="6">
        <v>0</v>
      </c>
      <c r="L39" s="6">
        <v>755.34</v>
      </c>
      <c r="M39" s="6">
        <v>755.34</v>
      </c>
      <c r="N39" s="6">
        <v>0</v>
      </c>
      <c r="O39" s="6">
        <v>0</v>
      </c>
      <c r="P39" s="6">
        <v>0</v>
      </c>
      <c r="Q39" s="4" t="s">
        <v>51</v>
      </c>
      <c r="R39" s="4">
        <v>0</v>
      </c>
      <c r="S39" s="4" t="s">
        <v>90</v>
      </c>
      <c r="U39" s="4">
        <v>0</v>
      </c>
      <c r="V39" s="4">
        <v>40</v>
      </c>
      <c r="W39" s="4">
        <v>0</v>
      </c>
    </row>
    <row r="40" spans="1:23" ht="11.25" customHeight="1" x14ac:dyDescent="0.3">
      <c r="A40" s="4" t="s">
        <v>21</v>
      </c>
      <c r="B40" s="4" t="s">
        <v>38</v>
      </c>
      <c r="C40" s="4" t="s">
        <v>39</v>
      </c>
      <c r="D40" s="4" t="s">
        <v>49</v>
      </c>
      <c r="E40" s="4" t="s">
        <v>25</v>
      </c>
      <c r="F40" s="4" t="s">
        <v>50</v>
      </c>
      <c r="G40" s="4" t="s">
        <v>25</v>
      </c>
      <c r="H40" s="4" t="s">
        <v>34</v>
      </c>
      <c r="I40" s="5">
        <v>44501</v>
      </c>
      <c r="J40" s="6">
        <v>0</v>
      </c>
      <c r="K40" s="6">
        <v>0</v>
      </c>
      <c r="L40" s="6">
        <v>779.74400000000003</v>
      </c>
      <c r="M40" s="6">
        <v>779.74400000000003</v>
      </c>
      <c r="N40" s="6">
        <v>0</v>
      </c>
      <c r="O40" s="6">
        <v>0</v>
      </c>
      <c r="P40" s="6">
        <v>0</v>
      </c>
      <c r="Q40" s="4" t="s">
        <v>51</v>
      </c>
      <c r="R40" s="4">
        <v>0</v>
      </c>
      <c r="S40" s="4" t="s">
        <v>91</v>
      </c>
      <c r="U40" s="4">
        <v>0</v>
      </c>
      <c r="V40" s="4">
        <v>40</v>
      </c>
      <c r="W40" s="4">
        <v>0</v>
      </c>
    </row>
    <row r="41" spans="1:23" ht="11.25" customHeight="1" x14ac:dyDescent="0.3">
      <c r="A41" s="4" t="s">
        <v>21</v>
      </c>
      <c r="B41" s="4" t="s">
        <v>38</v>
      </c>
      <c r="C41" s="4" t="s">
        <v>39</v>
      </c>
      <c r="D41" s="4" t="s">
        <v>49</v>
      </c>
      <c r="E41" s="4" t="s">
        <v>25</v>
      </c>
      <c r="F41" s="4" t="s">
        <v>50</v>
      </c>
      <c r="G41" s="4" t="s">
        <v>25</v>
      </c>
      <c r="H41" s="4" t="s">
        <v>34</v>
      </c>
      <c r="I41" s="5">
        <v>44531</v>
      </c>
      <c r="J41" s="6">
        <v>0</v>
      </c>
      <c r="K41" s="6">
        <v>0</v>
      </c>
      <c r="L41" s="6">
        <v>868.61800000000005</v>
      </c>
      <c r="M41" s="6">
        <v>868.61800000000005</v>
      </c>
      <c r="N41" s="6">
        <v>0</v>
      </c>
      <c r="O41" s="6">
        <v>0</v>
      </c>
      <c r="P41" s="6">
        <v>0</v>
      </c>
      <c r="Q41" s="4" t="s">
        <v>51</v>
      </c>
      <c r="R41" s="4">
        <v>0</v>
      </c>
      <c r="S41" s="4" t="s">
        <v>92</v>
      </c>
      <c r="U41" s="4">
        <v>0</v>
      </c>
      <c r="V41" s="4">
        <v>40</v>
      </c>
      <c r="W41" s="4">
        <v>0</v>
      </c>
    </row>
    <row r="42" spans="1:23" ht="11.25" customHeight="1" x14ac:dyDescent="0.3">
      <c r="A42" s="4" t="s">
        <v>21</v>
      </c>
      <c r="B42" s="4" t="s">
        <v>38</v>
      </c>
      <c r="C42" s="4" t="s">
        <v>39</v>
      </c>
      <c r="D42" s="4" t="s">
        <v>49</v>
      </c>
      <c r="E42" s="4" t="s">
        <v>25</v>
      </c>
      <c r="F42" s="4" t="s">
        <v>50</v>
      </c>
      <c r="G42" s="4" t="s">
        <v>25</v>
      </c>
      <c r="H42" s="4" t="s">
        <v>34</v>
      </c>
      <c r="I42" s="5">
        <v>44562</v>
      </c>
      <c r="J42" s="6">
        <v>0</v>
      </c>
      <c r="K42" s="6">
        <v>0</v>
      </c>
      <c r="L42" s="6">
        <v>868.58399999999995</v>
      </c>
      <c r="M42" s="6">
        <v>868.58399999999995</v>
      </c>
      <c r="N42" s="6">
        <v>0</v>
      </c>
      <c r="O42" s="6">
        <v>0</v>
      </c>
      <c r="P42" s="6">
        <v>0</v>
      </c>
      <c r="Q42" s="4" t="s">
        <v>51</v>
      </c>
      <c r="R42" s="4">
        <v>0</v>
      </c>
      <c r="S42" s="4" t="s">
        <v>93</v>
      </c>
      <c r="U42" s="4">
        <v>0</v>
      </c>
      <c r="V42" s="4">
        <v>40</v>
      </c>
      <c r="W42" s="4">
        <v>0</v>
      </c>
    </row>
    <row r="43" spans="1:23" ht="11.25" customHeight="1" x14ac:dyDescent="0.3">
      <c r="A43" s="4" t="s">
        <v>21</v>
      </c>
      <c r="B43" s="4" t="s">
        <v>38</v>
      </c>
      <c r="C43" s="4" t="s">
        <v>39</v>
      </c>
      <c r="D43" s="4" t="s">
        <v>49</v>
      </c>
      <c r="E43" s="4" t="s">
        <v>25</v>
      </c>
      <c r="F43" s="4" t="s">
        <v>50</v>
      </c>
      <c r="G43" s="4" t="s">
        <v>25</v>
      </c>
      <c r="H43" s="4" t="s">
        <v>34</v>
      </c>
      <c r="I43" s="5">
        <v>44593</v>
      </c>
      <c r="J43" s="6">
        <v>0</v>
      </c>
      <c r="K43" s="6">
        <v>0</v>
      </c>
      <c r="L43" s="6">
        <v>819.54899999999998</v>
      </c>
      <c r="M43" s="6">
        <v>819.54899999999998</v>
      </c>
      <c r="N43" s="6">
        <v>0</v>
      </c>
      <c r="O43" s="6">
        <v>0</v>
      </c>
      <c r="P43" s="6">
        <v>0</v>
      </c>
      <c r="Q43" s="4" t="s">
        <v>51</v>
      </c>
      <c r="R43" s="4">
        <v>0</v>
      </c>
      <c r="S43" s="4" t="s">
        <v>94</v>
      </c>
      <c r="U43" s="4">
        <v>0</v>
      </c>
      <c r="V43" s="4">
        <v>40</v>
      </c>
      <c r="W43" s="4">
        <v>0</v>
      </c>
    </row>
    <row r="44" spans="1:23" ht="11.25" customHeight="1" x14ac:dyDescent="0.3">
      <c r="A44" s="4" t="s">
        <v>21</v>
      </c>
      <c r="B44" s="4" t="s">
        <v>38</v>
      </c>
      <c r="C44" s="4" t="s">
        <v>39</v>
      </c>
      <c r="D44" s="4" t="s">
        <v>49</v>
      </c>
      <c r="E44" s="4" t="s">
        <v>25</v>
      </c>
      <c r="F44" s="4" t="s">
        <v>50</v>
      </c>
      <c r="G44" s="4" t="s">
        <v>25</v>
      </c>
      <c r="H44" s="4" t="s">
        <v>34</v>
      </c>
      <c r="I44" s="5">
        <v>44621</v>
      </c>
      <c r="J44" s="6">
        <v>0</v>
      </c>
      <c r="K44" s="6">
        <v>0</v>
      </c>
      <c r="L44" s="6">
        <v>830.31600000000003</v>
      </c>
      <c r="M44" s="6">
        <v>830.31600000000003</v>
      </c>
      <c r="N44" s="6">
        <v>0</v>
      </c>
      <c r="O44" s="6">
        <v>0</v>
      </c>
      <c r="P44" s="6">
        <v>0</v>
      </c>
      <c r="Q44" s="4" t="s">
        <v>51</v>
      </c>
      <c r="R44" s="4">
        <v>0</v>
      </c>
      <c r="S44" s="4" t="s">
        <v>95</v>
      </c>
      <c r="U44" s="4">
        <v>0</v>
      </c>
      <c r="V44" s="4">
        <v>40</v>
      </c>
      <c r="W44" s="4">
        <v>0</v>
      </c>
    </row>
    <row r="45" spans="1:23" ht="11.25" customHeight="1" x14ac:dyDescent="0.3">
      <c r="A45" s="4" t="s">
        <v>21</v>
      </c>
      <c r="B45" s="4" t="s">
        <v>38</v>
      </c>
      <c r="C45" s="4" t="s">
        <v>39</v>
      </c>
      <c r="D45" s="4" t="s">
        <v>49</v>
      </c>
      <c r="E45" s="4" t="s">
        <v>25</v>
      </c>
      <c r="F45" s="4" t="s">
        <v>50</v>
      </c>
      <c r="G45" s="4" t="s">
        <v>25</v>
      </c>
      <c r="H45" s="4" t="s">
        <v>34</v>
      </c>
      <c r="I45" s="5">
        <v>44652</v>
      </c>
      <c r="J45" s="6">
        <v>0</v>
      </c>
      <c r="K45" s="6">
        <v>0</v>
      </c>
      <c r="L45" s="6">
        <v>790.26300000000003</v>
      </c>
      <c r="M45" s="6">
        <v>790.26300000000003</v>
      </c>
      <c r="N45" s="6">
        <v>0</v>
      </c>
      <c r="O45" s="6">
        <v>0</v>
      </c>
      <c r="P45" s="6">
        <v>0</v>
      </c>
      <c r="Q45" s="4" t="s">
        <v>51</v>
      </c>
      <c r="R45" s="4">
        <v>0</v>
      </c>
      <c r="S45" s="4" t="s">
        <v>96</v>
      </c>
      <c r="U45" s="4">
        <v>0</v>
      </c>
      <c r="V45" s="4">
        <v>40</v>
      </c>
      <c r="W45" s="4">
        <v>0</v>
      </c>
    </row>
    <row r="46" spans="1:23" ht="11.25" customHeight="1" x14ac:dyDescent="0.3">
      <c r="A46" s="4" t="s">
        <v>21</v>
      </c>
      <c r="B46" s="4" t="s">
        <v>38</v>
      </c>
      <c r="C46" s="4" t="s">
        <v>39</v>
      </c>
      <c r="D46" s="4" t="s">
        <v>49</v>
      </c>
      <c r="E46" s="4" t="s">
        <v>25</v>
      </c>
      <c r="F46" s="4" t="s">
        <v>50</v>
      </c>
      <c r="G46" s="4" t="s">
        <v>25</v>
      </c>
      <c r="H46" s="4" t="s">
        <v>34</v>
      </c>
      <c r="I46" s="5">
        <v>44682</v>
      </c>
      <c r="J46" s="6">
        <v>0</v>
      </c>
      <c r="K46" s="6">
        <v>0</v>
      </c>
      <c r="L46" s="6">
        <v>822.077</v>
      </c>
      <c r="M46" s="6">
        <v>822.077</v>
      </c>
      <c r="N46" s="6">
        <v>0</v>
      </c>
      <c r="O46" s="6">
        <v>0</v>
      </c>
      <c r="P46" s="6">
        <v>0</v>
      </c>
      <c r="Q46" s="4" t="s">
        <v>51</v>
      </c>
      <c r="R46" s="4">
        <v>0</v>
      </c>
      <c r="S46" s="4" t="s">
        <v>97</v>
      </c>
      <c r="U46" s="4">
        <v>0</v>
      </c>
      <c r="V46" s="4">
        <v>40</v>
      </c>
      <c r="W46" s="4">
        <v>0</v>
      </c>
    </row>
    <row r="47" spans="1:23" ht="11.25" customHeight="1" x14ac:dyDescent="0.3">
      <c r="A47" s="4" t="s">
        <v>21</v>
      </c>
      <c r="B47" s="4" t="s">
        <v>38</v>
      </c>
      <c r="C47" s="4" t="s">
        <v>39</v>
      </c>
      <c r="D47" s="4" t="s">
        <v>49</v>
      </c>
      <c r="E47" s="4" t="s">
        <v>25</v>
      </c>
      <c r="F47" s="4" t="s">
        <v>50</v>
      </c>
      <c r="G47" s="4" t="s">
        <v>25</v>
      </c>
      <c r="H47" s="4" t="s">
        <v>34</v>
      </c>
      <c r="I47" s="5">
        <v>44713</v>
      </c>
      <c r="J47" s="6">
        <v>0</v>
      </c>
      <c r="K47" s="6">
        <v>0</v>
      </c>
      <c r="L47" s="6">
        <v>778.07399999999996</v>
      </c>
      <c r="M47" s="6">
        <v>778.07399999999996</v>
      </c>
      <c r="N47" s="6">
        <v>0</v>
      </c>
      <c r="O47" s="6">
        <v>0</v>
      </c>
      <c r="P47" s="6">
        <v>0</v>
      </c>
      <c r="Q47" s="4" t="s">
        <v>51</v>
      </c>
      <c r="R47" s="4">
        <v>0</v>
      </c>
      <c r="S47" s="4" t="s">
        <v>98</v>
      </c>
      <c r="U47" s="4">
        <v>0</v>
      </c>
      <c r="V47" s="4">
        <v>40</v>
      </c>
      <c r="W47" s="4">
        <v>0</v>
      </c>
    </row>
    <row r="48" spans="1:23" ht="11.25" customHeight="1" x14ac:dyDescent="0.3">
      <c r="A48" s="4" t="s">
        <v>21</v>
      </c>
      <c r="B48" s="4" t="s">
        <v>38</v>
      </c>
      <c r="C48" s="4" t="s">
        <v>39</v>
      </c>
      <c r="D48" s="4" t="s">
        <v>49</v>
      </c>
      <c r="E48" s="4" t="s">
        <v>25</v>
      </c>
      <c r="F48" s="4" t="s">
        <v>50</v>
      </c>
      <c r="G48" s="4" t="s">
        <v>25</v>
      </c>
      <c r="H48" s="4" t="s">
        <v>34</v>
      </c>
      <c r="I48" s="5">
        <v>44743</v>
      </c>
      <c r="J48" s="6">
        <v>0</v>
      </c>
      <c r="K48" s="6">
        <v>0</v>
      </c>
      <c r="L48" s="6">
        <v>897.19799999999998</v>
      </c>
      <c r="M48" s="6">
        <v>897.19799999999998</v>
      </c>
      <c r="N48" s="6">
        <v>0</v>
      </c>
      <c r="O48" s="6">
        <v>0</v>
      </c>
      <c r="P48" s="6">
        <v>0</v>
      </c>
      <c r="Q48" s="4" t="s">
        <v>51</v>
      </c>
      <c r="R48" s="4">
        <v>0</v>
      </c>
      <c r="S48" s="4" t="s">
        <v>99</v>
      </c>
      <c r="U48" s="4">
        <v>0</v>
      </c>
      <c r="V48" s="4">
        <v>40</v>
      </c>
      <c r="W48" s="4">
        <v>0</v>
      </c>
    </row>
    <row r="49" spans="1:23" ht="11.25" customHeight="1" x14ac:dyDescent="0.3">
      <c r="A49" s="4" t="s">
        <v>21</v>
      </c>
      <c r="B49" s="4" t="s">
        <v>38</v>
      </c>
      <c r="C49" s="4" t="s">
        <v>39</v>
      </c>
      <c r="D49" s="4" t="s">
        <v>49</v>
      </c>
      <c r="E49" s="4" t="s">
        <v>25</v>
      </c>
      <c r="F49" s="4" t="s">
        <v>50</v>
      </c>
      <c r="G49" s="4" t="s">
        <v>25</v>
      </c>
      <c r="H49" s="4" t="s">
        <v>34</v>
      </c>
      <c r="I49" s="5">
        <v>44774</v>
      </c>
      <c r="J49" s="6">
        <v>0</v>
      </c>
      <c r="K49" s="6">
        <v>0</v>
      </c>
      <c r="L49" s="6">
        <v>874.66499999999996</v>
      </c>
      <c r="M49" s="6">
        <v>874.66499999999996</v>
      </c>
      <c r="N49" s="6">
        <v>0</v>
      </c>
      <c r="O49" s="6">
        <v>0</v>
      </c>
      <c r="P49" s="6">
        <v>0</v>
      </c>
      <c r="Q49" s="4" t="s">
        <v>51</v>
      </c>
      <c r="R49" s="4">
        <v>0</v>
      </c>
      <c r="S49" s="4" t="s">
        <v>100</v>
      </c>
      <c r="U49" s="4">
        <v>0</v>
      </c>
      <c r="V49" s="4">
        <v>40</v>
      </c>
      <c r="W49" s="4">
        <v>0</v>
      </c>
    </row>
    <row r="50" spans="1:23" ht="11.25" customHeight="1" x14ac:dyDescent="0.3">
      <c r="A50" s="4" t="s">
        <v>21</v>
      </c>
      <c r="B50" s="4" t="s">
        <v>38</v>
      </c>
      <c r="C50" s="4" t="s">
        <v>39</v>
      </c>
      <c r="D50" s="4" t="s">
        <v>49</v>
      </c>
      <c r="E50" s="4" t="s">
        <v>25</v>
      </c>
      <c r="F50" s="4" t="s">
        <v>50</v>
      </c>
      <c r="G50" s="4" t="s">
        <v>25</v>
      </c>
      <c r="H50" s="4" t="s">
        <v>25</v>
      </c>
      <c r="I50" s="5">
        <v>44440</v>
      </c>
      <c r="J50" s="6">
        <v>2100</v>
      </c>
      <c r="K50" s="6">
        <v>2100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4" t="s">
        <v>51</v>
      </c>
      <c r="R50" s="4">
        <v>0</v>
      </c>
      <c r="S50" s="4" t="s">
        <v>101</v>
      </c>
      <c r="U50" s="4">
        <v>47</v>
      </c>
      <c r="V50" s="4">
        <v>0</v>
      </c>
      <c r="W50" s="4">
        <v>0</v>
      </c>
    </row>
    <row r="51" spans="1:23" ht="11.25" customHeight="1" x14ac:dyDescent="0.3">
      <c r="A51" s="4" t="s">
        <v>21</v>
      </c>
      <c r="B51" s="4" t="s">
        <v>38</v>
      </c>
      <c r="C51" s="4" t="s">
        <v>39</v>
      </c>
      <c r="D51" s="4" t="s">
        <v>49</v>
      </c>
      <c r="E51" s="4" t="s">
        <v>25</v>
      </c>
      <c r="F51" s="4" t="s">
        <v>50</v>
      </c>
      <c r="G51" s="4" t="s">
        <v>25</v>
      </c>
      <c r="H51" s="4" t="s">
        <v>25</v>
      </c>
      <c r="I51" s="5">
        <v>44470</v>
      </c>
      <c r="J51" s="6">
        <v>2100</v>
      </c>
      <c r="K51" s="6">
        <v>2100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4" t="s">
        <v>51</v>
      </c>
      <c r="R51" s="4">
        <v>0</v>
      </c>
      <c r="S51" s="4" t="s">
        <v>102</v>
      </c>
      <c r="U51" s="4">
        <v>47</v>
      </c>
      <c r="V51" s="4">
        <v>0</v>
      </c>
      <c r="W51" s="4">
        <v>0</v>
      </c>
    </row>
    <row r="52" spans="1:23" ht="11.25" customHeight="1" x14ac:dyDescent="0.3">
      <c r="A52" s="4" t="s">
        <v>21</v>
      </c>
      <c r="B52" s="4" t="s">
        <v>38</v>
      </c>
      <c r="C52" s="4" t="s">
        <v>39</v>
      </c>
      <c r="D52" s="4" t="s">
        <v>49</v>
      </c>
      <c r="E52" s="4" t="s">
        <v>25</v>
      </c>
      <c r="F52" s="4" t="s">
        <v>50</v>
      </c>
      <c r="G52" s="4" t="s">
        <v>25</v>
      </c>
      <c r="H52" s="4" t="s">
        <v>25</v>
      </c>
      <c r="I52" s="5">
        <v>44501</v>
      </c>
      <c r="J52" s="6">
        <v>2100</v>
      </c>
      <c r="K52" s="6">
        <v>2100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4" t="s">
        <v>51</v>
      </c>
      <c r="R52" s="4">
        <v>0</v>
      </c>
      <c r="S52" s="4" t="s">
        <v>103</v>
      </c>
      <c r="U52" s="4">
        <v>47</v>
      </c>
      <c r="V52" s="4">
        <v>0</v>
      </c>
      <c r="W52" s="4">
        <v>0</v>
      </c>
    </row>
    <row r="53" spans="1:23" ht="11.25" customHeight="1" x14ac:dyDescent="0.3">
      <c r="A53" s="4" t="s">
        <v>21</v>
      </c>
      <c r="B53" s="4" t="s">
        <v>38</v>
      </c>
      <c r="C53" s="4" t="s">
        <v>39</v>
      </c>
      <c r="D53" s="4" t="s">
        <v>49</v>
      </c>
      <c r="E53" s="4" t="s">
        <v>25</v>
      </c>
      <c r="F53" s="4" t="s">
        <v>50</v>
      </c>
      <c r="G53" s="4" t="s">
        <v>25</v>
      </c>
      <c r="H53" s="4" t="s">
        <v>25</v>
      </c>
      <c r="I53" s="5">
        <v>44531</v>
      </c>
      <c r="J53" s="6">
        <v>2100</v>
      </c>
      <c r="K53" s="6">
        <v>2100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4" t="s">
        <v>51</v>
      </c>
      <c r="R53" s="4">
        <v>0</v>
      </c>
      <c r="S53" s="4" t="s">
        <v>104</v>
      </c>
      <c r="U53" s="4">
        <v>47</v>
      </c>
      <c r="V53" s="4">
        <v>0</v>
      </c>
      <c r="W53" s="4">
        <v>0</v>
      </c>
    </row>
    <row r="54" spans="1:23" ht="11.25" customHeight="1" x14ac:dyDescent="0.3">
      <c r="A54" s="4" t="s">
        <v>21</v>
      </c>
      <c r="B54" s="4" t="s">
        <v>38</v>
      </c>
      <c r="C54" s="4" t="s">
        <v>39</v>
      </c>
      <c r="D54" s="4" t="s">
        <v>49</v>
      </c>
      <c r="E54" s="4" t="s">
        <v>25</v>
      </c>
      <c r="F54" s="4" t="s">
        <v>50</v>
      </c>
      <c r="G54" s="4" t="s">
        <v>25</v>
      </c>
      <c r="H54" s="4" t="s">
        <v>25</v>
      </c>
      <c r="I54" s="5">
        <v>44562</v>
      </c>
      <c r="J54" s="6">
        <v>2100</v>
      </c>
      <c r="K54" s="6">
        <v>2100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4" t="s">
        <v>51</v>
      </c>
      <c r="R54" s="4">
        <v>0</v>
      </c>
      <c r="S54" s="4" t="s">
        <v>105</v>
      </c>
      <c r="U54" s="4">
        <v>47</v>
      </c>
      <c r="V54" s="4">
        <v>0</v>
      </c>
      <c r="W54" s="4">
        <v>0</v>
      </c>
    </row>
    <row r="55" spans="1:23" ht="11.25" customHeight="1" x14ac:dyDescent="0.3">
      <c r="A55" s="4" t="s">
        <v>21</v>
      </c>
      <c r="B55" s="4" t="s">
        <v>38</v>
      </c>
      <c r="C55" s="4" t="s">
        <v>39</v>
      </c>
      <c r="D55" s="4" t="s">
        <v>49</v>
      </c>
      <c r="E55" s="4" t="s">
        <v>25</v>
      </c>
      <c r="F55" s="4" t="s">
        <v>50</v>
      </c>
      <c r="G55" s="4" t="s">
        <v>25</v>
      </c>
      <c r="H55" s="4" t="s">
        <v>25</v>
      </c>
      <c r="I55" s="5">
        <v>44593</v>
      </c>
      <c r="J55" s="6">
        <v>2100</v>
      </c>
      <c r="K55" s="6">
        <v>1055.973387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4" t="s">
        <v>51</v>
      </c>
      <c r="R55" s="4">
        <v>0</v>
      </c>
      <c r="S55" s="4" t="s">
        <v>106</v>
      </c>
      <c r="U55" s="4">
        <v>47</v>
      </c>
      <c r="V55" s="4">
        <v>0</v>
      </c>
      <c r="W55" s="4">
        <v>0</v>
      </c>
    </row>
    <row r="56" spans="1:23" ht="11.25" customHeight="1" x14ac:dyDescent="0.3">
      <c r="A56" s="4" t="s">
        <v>21</v>
      </c>
      <c r="B56" s="4" t="s">
        <v>38</v>
      </c>
      <c r="C56" s="4" t="s">
        <v>39</v>
      </c>
      <c r="D56" s="4" t="s">
        <v>49</v>
      </c>
      <c r="E56" s="4" t="s">
        <v>25</v>
      </c>
      <c r="F56" s="4" t="s">
        <v>50</v>
      </c>
      <c r="G56" s="4" t="s">
        <v>25</v>
      </c>
      <c r="H56" s="4" t="s">
        <v>25</v>
      </c>
      <c r="I56" s="5">
        <v>44621</v>
      </c>
      <c r="J56" s="6">
        <v>2100</v>
      </c>
      <c r="K56" s="6">
        <v>1054.466322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4" t="s">
        <v>51</v>
      </c>
      <c r="R56" s="4">
        <v>0</v>
      </c>
      <c r="S56" s="4" t="s">
        <v>107</v>
      </c>
      <c r="U56" s="4">
        <v>47</v>
      </c>
      <c r="V56" s="4">
        <v>0</v>
      </c>
      <c r="W56" s="4">
        <v>0</v>
      </c>
    </row>
    <row r="57" spans="1:23" ht="11.25" customHeight="1" x14ac:dyDescent="0.3">
      <c r="A57" s="4" t="s">
        <v>21</v>
      </c>
      <c r="B57" s="4" t="s">
        <v>38</v>
      </c>
      <c r="C57" s="4" t="s">
        <v>39</v>
      </c>
      <c r="D57" s="4" t="s">
        <v>49</v>
      </c>
      <c r="E57" s="4" t="s">
        <v>25</v>
      </c>
      <c r="F57" s="4" t="s">
        <v>50</v>
      </c>
      <c r="G57" s="4" t="s">
        <v>25</v>
      </c>
      <c r="H57" s="4" t="s">
        <v>25</v>
      </c>
      <c r="I57" s="5">
        <v>44652</v>
      </c>
      <c r="J57" s="6">
        <v>2100</v>
      </c>
      <c r="K57" s="6">
        <v>1052.4575460000001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4" t="s">
        <v>51</v>
      </c>
      <c r="R57" s="4">
        <v>0</v>
      </c>
      <c r="S57" s="4" t="s">
        <v>108</v>
      </c>
      <c r="U57" s="4">
        <v>47</v>
      </c>
      <c r="V57" s="4">
        <v>0</v>
      </c>
      <c r="W57" s="4">
        <v>0</v>
      </c>
    </row>
    <row r="58" spans="1:23" ht="11.25" customHeight="1" x14ac:dyDescent="0.3">
      <c r="A58" s="4" t="s">
        <v>21</v>
      </c>
      <c r="B58" s="4" t="s">
        <v>38</v>
      </c>
      <c r="C58" s="4" t="s">
        <v>39</v>
      </c>
      <c r="D58" s="4" t="s">
        <v>49</v>
      </c>
      <c r="E58" s="4" t="s">
        <v>25</v>
      </c>
      <c r="F58" s="4" t="s">
        <v>50</v>
      </c>
      <c r="G58" s="4" t="s">
        <v>25</v>
      </c>
      <c r="H58" s="4" t="s">
        <v>25</v>
      </c>
      <c r="I58" s="5">
        <v>44682</v>
      </c>
      <c r="J58" s="6">
        <v>2100</v>
      </c>
      <c r="K58" s="6">
        <v>1050.8292899999999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4" t="s">
        <v>51</v>
      </c>
      <c r="R58" s="4">
        <v>0</v>
      </c>
      <c r="S58" s="4" t="s">
        <v>109</v>
      </c>
      <c r="U58" s="4">
        <v>47</v>
      </c>
      <c r="V58" s="4">
        <v>0</v>
      </c>
      <c r="W58" s="4">
        <v>0</v>
      </c>
    </row>
    <row r="59" spans="1:23" ht="11.25" customHeight="1" x14ac:dyDescent="0.3">
      <c r="A59" s="4" t="s">
        <v>21</v>
      </c>
      <c r="B59" s="4" t="s">
        <v>38</v>
      </c>
      <c r="C59" s="4" t="s">
        <v>39</v>
      </c>
      <c r="D59" s="4" t="s">
        <v>49</v>
      </c>
      <c r="E59" s="4" t="s">
        <v>25</v>
      </c>
      <c r="F59" s="4" t="s">
        <v>50</v>
      </c>
      <c r="G59" s="4" t="s">
        <v>25</v>
      </c>
      <c r="H59" s="4" t="s">
        <v>25</v>
      </c>
      <c r="I59" s="5">
        <v>44713</v>
      </c>
      <c r="J59" s="6">
        <v>2100</v>
      </c>
      <c r="K59" s="6">
        <v>1050.522354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4" t="s">
        <v>51</v>
      </c>
      <c r="R59" s="4">
        <v>0</v>
      </c>
      <c r="S59" s="4" t="s">
        <v>110</v>
      </c>
      <c r="U59" s="4">
        <v>47</v>
      </c>
      <c r="V59" s="4">
        <v>0</v>
      </c>
      <c r="W59" s="4">
        <v>0</v>
      </c>
    </row>
    <row r="60" spans="1:23" ht="11.25" customHeight="1" x14ac:dyDescent="0.3">
      <c r="A60" s="4" t="s">
        <v>21</v>
      </c>
      <c r="B60" s="4" t="s">
        <v>38</v>
      </c>
      <c r="C60" s="4" t="s">
        <v>39</v>
      </c>
      <c r="D60" s="4" t="s">
        <v>49</v>
      </c>
      <c r="E60" s="4" t="s">
        <v>25</v>
      </c>
      <c r="F60" s="4" t="s">
        <v>50</v>
      </c>
      <c r="G60" s="4" t="s">
        <v>25</v>
      </c>
      <c r="H60" s="4" t="s">
        <v>25</v>
      </c>
      <c r="I60" s="5">
        <v>44743</v>
      </c>
      <c r="J60" s="6">
        <v>2100</v>
      </c>
      <c r="K60" s="6">
        <v>1050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4" t="s">
        <v>51</v>
      </c>
      <c r="R60" s="4">
        <v>0</v>
      </c>
      <c r="S60" s="4" t="s">
        <v>111</v>
      </c>
      <c r="U60" s="4">
        <v>47</v>
      </c>
      <c r="V60" s="4">
        <v>0</v>
      </c>
      <c r="W60" s="4">
        <v>0</v>
      </c>
    </row>
    <row r="61" spans="1:23" ht="11.25" customHeight="1" x14ac:dyDescent="0.3">
      <c r="A61" s="4" t="s">
        <v>21</v>
      </c>
      <c r="B61" s="4" t="s">
        <v>38</v>
      </c>
      <c r="C61" s="4" t="s">
        <v>39</v>
      </c>
      <c r="D61" s="4" t="s">
        <v>49</v>
      </c>
      <c r="E61" s="4" t="s">
        <v>25</v>
      </c>
      <c r="F61" s="4" t="s">
        <v>50</v>
      </c>
      <c r="G61" s="4" t="s">
        <v>25</v>
      </c>
      <c r="H61" s="4" t="s">
        <v>25</v>
      </c>
      <c r="I61" s="5">
        <v>44774</v>
      </c>
      <c r="J61" s="6">
        <v>2100</v>
      </c>
      <c r="K61" s="6">
        <v>1050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4" t="s">
        <v>51</v>
      </c>
      <c r="R61" s="4">
        <v>0</v>
      </c>
      <c r="S61" s="4" t="s">
        <v>112</v>
      </c>
      <c r="U61" s="4">
        <v>47</v>
      </c>
      <c r="V61" s="4">
        <v>0</v>
      </c>
      <c r="W61" s="4">
        <v>0</v>
      </c>
    </row>
    <row r="62" spans="1:23" ht="11.25" customHeight="1" x14ac:dyDescent="0.3">
      <c r="A62" s="4" t="s">
        <v>21</v>
      </c>
      <c r="B62" s="4" t="s">
        <v>38</v>
      </c>
      <c r="C62" s="4" t="s">
        <v>39</v>
      </c>
      <c r="D62" s="4" t="s">
        <v>49</v>
      </c>
      <c r="E62" s="4" t="s">
        <v>25</v>
      </c>
      <c r="F62" s="4" t="s">
        <v>50</v>
      </c>
      <c r="G62" s="4" t="s">
        <v>25</v>
      </c>
      <c r="H62" s="4" t="s">
        <v>40</v>
      </c>
      <c r="I62" s="5">
        <v>44440</v>
      </c>
      <c r="J62" s="6">
        <v>0</v>
      </c>
      <c r="K62" s="6">
        <v>0</v>
      </c>
      <c r="L62" s="6">
        <v>86.004000000000005</v>
      </c>
      <c r="M62" s="6">
        <v>86.004000000000005</v>
      </c>
      <c r="N62" s="6">
        <v>0</v>
      </c>
      <c r="O62" s="6">
        <v>0</v>
      </c>
      <c r="P62" s="6">
        <v>0</v>
      </c>
      <c r="Q62" s="4" t="s">
        <v>51</v>
      </c>
      <c r="R62" s="4">
        <v>0</v>
      </c>
      <c r="S62" s="4" t="s">
        <v>113</v>
      </c>
      <c r="U62" s="4">
        <v>0</v>
      </c>
      <c r="V62" s="4">
        <v>35</v>
      </c>
      <c r="W62" s="4">
        <v>0</v>
      </c>
    </row>
    <row r="63" spans="1:23" ht="11.25" customHeight="1" x14ac:dyDescent="0.3">
      <c r="A63" s="4" t="s">
        <v>21</v>
      </c>
      <c r="B63" s="4" t="s">
        <v>38</v>
      </c>
      <c r="C63" s="4" t="s">
        <v>39</v>
      </c>
      <c r="D63" s="4" t="s">
        <v>49</v>
      </c>
      <c r="E63" s="4" t="s">
        <v>25</v>
      </c>
      <c r="F63" s="4" t="s">
        <v>50</v>
      </c>
      <c r="G63" s="4" t="s">
        <v>25</v>
      </c>
      <c r="H63" s="4" t="s">
        <v>40</v>
      </c>
      <c r="I63" s="5">
        <v>44470</v>
      </c>
      <c r="J63" s="6">
        <v>0</v>
      </c>
      <c r="K63" s="6">
        <v>0</v>
      </c>
      <c r="L63" s="6">
        <v>72.034999999999997</v>
      </c>
      <c r="M63" s="6">
        <v>72.034999999999997</v>
      </c>
      <c r="N63" s="6">
        <v>0</v>
      </c>
      <c r="O63" s="6">
        <v>0</v>
      </c>
      <c r="P63" s="6">
        <v>0</v>
      </c>
      <c r="Q63" s="4" t="s">
        <v>51</v>
      </c>
      <c r="R63" s="4">
        <v>0</v>
      </c>
      <c r="S63" s="4" t="s">
        <v>114</v>
      </c>
      <c r="U63" s="4">
        <v>0</v>
      </c>
      <c r="V63" s="4">
        <v>35</v>
      </c>
      <c r="W63" s="4">
        <v>0</v>
      </c>
    </row>
    <row r="64" spans="1:23" ht="11.25" customHeight="1" x14ac:dyDescent="0.3">
      <c r="A64" s="4" t="s">
        <v>21</v>
      </c>
      <c r="B64" s="4" t="s">
        <v>38</v>
      </c>
      <c r="C64" s="4" t="s">
        <v>39</v>
      </c>
      <c r="D64" s="4" t="s">
        <v>49</v>
      </c>
      <c r="E64" s="4" t="s">
        <v>25</v>
      </c>
      <c r="F64" s="4" t="s">
        <v>50</v>
      </c>
      <c r="G64" s="4" t="s">
        <v>25</v>
      </c>
      <c r="H64" s="4" t="s">
        <v>40</v>
      </c>
      <c r="I64" s="5">
        <v>44501</v>
      </c>
      <c r="J64" s="6">
        <v>0</v>
      </c>
      <c r="K64" s="6">
        <v>0</v>
      </c>
      <c r="L64" s="6">
        <v>80.399000000000001</v>
      </c>
      <c r="M64" s="6">
        <v>80.399000000000001</v>
      </c>
      <c r="N64" s="6">
        <v>0</v>
      </c>
      <c r="O64" s="6">
        <v>0</v>
      </c>
      <c r="P64" s="6">
        <v>0</v>
      </c>
      <c r="Q64" s="4" t="s">
        <v>51</v>
      </c>
      <c r="R64" s="4">
        <v>0</v>
      </c>
      <c r="S64" s="4" t="s">
        <v>115</v>
      </c>
      <c r="U64" s="4">
        <v>0</v>
      </c>
      <c r="V64" s="4">
        <v>35</v>
      </c>
      <c r="W64" s="4">
        <v>0</v>
      </c>
    </row>
    <row r="65" spans="1:23" ht="11.25" customHeight="1" x14ac:dyDescent="0.3">
      <c r="A65" s="4" t="s">
        <v>21</v>
      </c>
      <c r="B65" s="4" t="s">
        <v>38</v>
      </c>
      <c r="C65" s="4" t="s">
        <v>39</v>
      </c>
      <c r="D65" s="4" t="s">
        <v>49</v>
      </c>
      <c r="E65" s="4" t="s">
        <v>25</v>
      </c>
      <c r="F65" s="4" t="s">
        <v>50</v>
      </c>
      <c r="G65" s="4" t="s">
        <v>25</v>
      </c>
      <c r="H65" s="4" t="s">
        <v>40</v>
      </c>
      <c r="I65" s="5">
        <v>44531</v>
      </c>
      <c r="J65" s="6">
        <v>0</v>
      </c>
      <c r="K65" s="6">
        <v>0</v>
      </c>
      <c r="L65" s="6">
        <v>92.685000000000002</v>
      </c>
      <c r="M65" s="6">
        <v>92.685000000000002</v>
      </c>
      <c r="N65" s="6">
        <v>0</v>
      </c>
      <c r="O65" s="6">
        <v>0</v>
      </c>
      <c r="P65" s="6">
        <v>0</v>
      </c>
      <c r="Q65" s="4" t="s">
        <v>51</v>
      </c>
      <c r="R65" s="4">
        <v>0</v>
      </c>
      <c r="S65" s="4" t="s">
        <v>116</v>
      </c>
      <c r="U65" s="4">
        <v>0</v>
      </c>
      <c r="V65" s="4">
        <v>35</v>
      </c>
      <c r="W65" s="4">
        <v>0</v>
      </c>
    </row>
    <row r="66" spans="1:23" ht="11.25" customHeight="1" x14ac:dyDescent="0.3">
      <c r="A66" s="4" t="s">
        <v>21</v>
      </c>
      <c r="B66" s="4" t="s">
        <v>38</v>
      </c>
      <c r="C66" s="4" t="s">
        <v>39</v>
      </c>
      <c r="D66" s="4" t="s">
        <v>49</v>
      </c>
      <c r="E66" s="4" t="s">
        <v>25</v>
      </c>
      <c r="F66" s="4" t="s">
        <v>50</v>
      </c>
      <c r="G66" s="4" t="s">
        <v>25</v>
      </c>
      <c r="H66" s="4" t="s">
        <v>40</v>
      </c>
      <c r="I66" s="5">
        <v>44562</v>
      </c>
      <c r="J66" s="6">
        <v>0</v>
      </c>
      <c r="K66" s="6">
        <v>0</v>
      </c>
      <c r="L66" s="6">
        <v>83.393000000000001</v>
      </c>
      <c r="M66" s="6">
        <v>83.393000000000001</v>
      </c>
      <c r="N66" s="6">
        <v>0</v>
      </c>
      <c r="O66" s="6">
        <v>0</v>
      </c>
      <c r="P66" s="6">
        <v>0</v>
      </c>
      <c r="Q66" s="4" t="s">
        <v>51</v>
      </c>
      <c r="R66" s="4">
        <v>0</v>
      </c>
      <c r="S66" s="4" t="s">
        <v>117</v>
      </c>
      <c r="U66" s="4">
        <v>0</v>
      </c>
      <c r="V66" s="4">
        <v>35</v>
      </c>
      <c r="W66" s="4">
        <v>0</v>
      </c>
    </row>
    <row r="67" spans="1:23" ht="11.25" customHeight="1" x14ac:dyDescent="0.3">
      <c r="A67" s="4" t="s">
        <v>21</v>
      </c>
      <c r="B67" s="4" t="s">
        <v>38</v>
      </c>
      <c r="C67" s="4" t="s">
        <v>39</v>
      </c>
      <c r="D67" s="4" t="s">
        <v>49</v>
      </c>
      <c r="E67" s="4" t="s">
        <v>25</v>
      </c>
      <c r="F67" s="4" t="s">
        <v>50</v>
      </c>
      <c r="G67" s="4" t="s">
        <v>25</v>
      </c>
      <c r="H67" s="4" t="s">
        <v>40</v>
      </c>
      <c r="I67" s="5">
        <v>44593</v>
      </c>
      <c r="J67" s="6">
        <v>0</v>
      </c>
      <c r="K67" s="6">
        <v>0</v>
      </c>
      <c r="L67" s="6">
        <v>78.411000000000001</v>
      </c>
      <c r="M67" s="6">
        <v>40.95357679947</v>
      </c>
      <c r="N67" s="6">
        <v>0</v>
      </c>
      <c r="O67" s="6">
        <v>0</v>
      </c>
      <c r="P67" s="6">
        <v>0</v>
      </c>
      <c r="Q67" s="4" t="s">
        <v>51</v>
      </c>
      <c r="R67" s="4">
        <v>0</v>
      </c>
      <c r="S67" s="4" t="s">
        <v>118</v>
      </c>
      <c r="U67" s="4">
        <v>0</v>
      </c>
      <c r="V67" s="4">
        <v>35</v>
      </c>
      <c r="W67" s="4">
        <v>0</v>
      </c>
    </row>
    <row r="68" spans="1:23" ht="11.25" customHeight="1" x14ac:dyDescent="0.3">
      <c r="A68" s="4" t="s">
        <v>21</v>
      </c>
      <c r="B68" s="4" t="s">
        <v>38</v>
      </c>
      <c r="C68" s="4" t="s">
        <v>39</v>
      </c>
      <c r="D68" s="4" t="s">
        <v>49</v>
      </c>
      <c r="E68" s="4" t="s">
        <v>25</v>
      </c>
      <c r="F68" s="4" t="s">
        <v>50</v>
      </c>
      <c r="G68" s="4" t="s">
        <v>25</v>
      </c>
      <c r="H68" s="4" t="s">
        <v>40</v>
      </c>
      <c r="I68" s="5">
        <v>44621</v>
      </c>
      <c r="J68" s="6">
        <v>0</v>
      </c>
      <c r="K68" s="6">
        <v>0</v>
      </c>
      <c r="L68" s="6">
        <v>90.872</v>
      </c>
      <c r="M68" s="6">
        <v>47.399215953679999</v>
      </c>
      <c r="N68" s="6">
        <v>0</v>
      </c>
      <c r="O68" s="6">
        <v>0</v>
      </c>
      <c r="P68" s="6">
        <v>0</v>
      </c>
      <c r="Q68" s="4" t="s">
        <v>51</v>
      </c>
      <c r="R68" s="4">
        <v>0</v>
      </c>
      <c r="S68" s="4" t="s">
        <v>119</v>
      </c>
      <c r="U68" s="4">
        <v>0</v>
      </c>
      <c r="V68" s="4">
        <v>35</v>
      </c>
      <c r="W68" s="4">
        <v>0</v>
      </c>
    </row>
    <row r="69" spans="1:23" ht="11.25" customHeight="1" x14ac:dyDescent="0.3">
      <c r="A69" s="4" t="s">
        <v>21</v>
      </c>
      <c r="B69" s="4" t="s">
        <v>38</v>
      </c>
      <c r="C69" s="4" t="s">
        <v>39</v>
      </c>
      <c r="D69" s="4" t="s">
        <v>49</v>
      </c>
      <c r="E69" s="4" t="s">
        <v>25</v>
      </c>
      <c r="F69" s="4" t="s">
        <v>50</v>
      </c>
      <c r="G69" s="4" t="s">
        <v>25</v>
      </c>
      <c r="H69" s="4" t="s">
        <v>40</v>
      </c>
      <c r="I69" s="5">
        <v>44652</v>
      </c>
      <c r="J69" s="6">
        <v>0</v>
      </c>
      <c r="K69" s="6">
        <v>0</v>
      </c>
      <c r="L69" s="6">
        <v>85.397999999999996</v>
      </c>
      <c r="M69" s="6">
        <v>44.465462753879997</v>
      </c>
      <c r="N69" s="6">
        <v>0</v>
      </c>
      <c r="O69" s="6">
        <v>0</v>
      </c>
      <c r="P69" s="6">
        <v>0</v>
      </c>
      <c r="Q69" s="4" t="s">
        <v>51</v>
      </c>
      <c r="R69" s="4">
        <v>0</v>
      </c>
      <c r="S69" s="4" t="s">
        <v>120</v>
      </c>
      <c r="U69" s="4">
        <v>0</v>
      </c>
      <c r="V69" s="4">
        <v>35</v>
      </c>
      <c r="W69" s="4">
        <v>0</v>
      </c>
    </row>
    <row r="70" spans="1:23" ht="11.25" customHeight="1" x14ac:dyDescent="0.3">
      <c r="A70" s="4" t="s">
        <v>21</v>
      </c>
      <c r="B70" s="4" t="s">
        <v>38</v>
      </c>
      <c r="C70" s="4" t="s">
        <v>39</v>
      </c>
      <c r="D70" s="4" t="s">
        <v>49</v>
      </c>
      <c r="E70" s="4" t="s">
        <v>25</v>
      </c>
      <c r="F70" s="4" t="s">
        <v>50</v>
      </c>
      <c r="G70" s="4" t="s">
        <v>25</v>
      </c>
      <c r="H70" s="4" t="s">
        <v>40</v>
      </c>
      <c r="I70" s="5">
        <v>44682</v>
      </c>
      <c r="J70" s="6">
        <v>0</v>
      </c>
      <c r="K70" s="6">
        <v>0</v>
      </c>
      <c r="L70" s="6">
        <v>85.915000000000006</v>
      </c>
      <c r="M70" s="6">
        <v>44.670605579099998</v>
      </c>
      <c r="N70" s="6">
        <v>0</v>
      </c>
      <c r="O70" s="6">
        <v>0</v>
      </c>
      <c r="P70" s="6">
        <v>0</v>
      </c>
      <c r="Q70" s="4" t="s">
        <v>51</v>
      </c>
      <c r="R70" s="4">
        <v>0</v>
      </c>
      <c r="S70" s="4" t="s">
        <v>121</v>
      </c>
      <c r="U70" s="4">
        <v>0</v>
      </c>
      <c r="V70" s="4">
        <v>35</v>
      </c>
      <c r="W70" s="4">
        <v>0</v>
      </c>
    </row>
    <row r="71" spans="1:23" ht="11.25" customHeight="1" x14ac:dyDescent="0.3">
      <c r="A71" s="4" t="s">
        <v>21</v>
      </c>
      <c r="B71" s="4" t="s">
        <v>38</v>
      </c>
      <c r="C71" s="4" t="s">
        <v>39</v>
      </c>
      <c r="D71" s="4" t="s">
        <v>49</v>
      </c>
      <c r="E71" s="4" t="s">
        <v>25</v>
      </c>
      <c r="F71" s="4" t="s">
        <v>50</v>
      </c>
      <c r="G71" s="4" t="s">
        <v>25</v>
      </c>
      <c r="H71" s="4" t="s">
        <v>40</v>
      </c>
      <c r="I71" s="5">
        <v>44713</v>
      </c>
      <c r="J71" s="6">
        <v>0</v>
      </c>
      <c r="K71" s="6">
        <v>0</v>
      </c>
      <c r="L71" s="6">
        <v>86.504000000000005</v>
      </c>
      <c r="M71" s="6">
        <v>44.964743733360002</v>
      </c>
      <c r="N71" s="6">
        <v>0</v>
      </c>
      <c r="O71" s="6">
        <v>0</v>
      </c>
      <c r="P71" s="6">
        <v>0</v>
      </c>
      <c r="Q71" s="4" t="s">
        <v>51</v>
      </c>
      <c r="R71" s="4">
        <v>0</v>
      </c>
      <c r="S71" s="4" t="s">
        <v>122</v>
      </c>
      <c r="U71" s="4">
        <v>0</v>
      </c>
      <c r="V71" s="4">
        <v>35</v>
      </c>
      <c r="W71" s="4">
        <v>0</v>
      </c>
    </row>
    <row r="72" spans="1:23" ht="11.25" customHeight="1" x14ac:dyDescent="0.3">
      <c r="A72" s="4" t="s">
        <v>21</v>
      </c>
      <c r="B72" s="4" t="s">
        <v>38</v>
      </c>
      <c r="C72" s="4" t="s">
        <v>39</v>
      </c>
      <c r="D72" s="4" t="s">
        <v>49</v>
      </c>
      <c r="E72" s="4" t="s">
        <v>25</v>
      </c>
      <c r="F72" s="4" t="s">
        <v>50</v>
      </c>
      <c r="G72" s="4" t="s">
        <v>25</v>
      </c>
      <c r="H72" s="4" t="s">
        <v>40</v>
      </c>
      <c r="I72" s="5">
        <v>44743</v>
      </c>
      <c r="J72" s="6">
        <v>0</v>
      </c>
      <c r="K72" s="6">
        <v>0</v>
      </c>
      <c r="L72" s="6">
        <v>89.667000000000002</v>
      </c>
      <c r="M72" s="6">
        <v>44.838360848070003</v>
      </c>
      <c r="N72" s="6">
        <v>0</v>
      </c>
      <c r="O72" s="6">
        <v>0</v>
      </c>
      <c r="P72" s="6">
        <v>0</v>
      </c>
      <c r="Q72" s="4" t="s">
        <v>51</v>
      </c>
      <c r="R72" s="4">
        <v>0</v>
      </c>
      <c r="S72" s="4" t="s">
        <v>123</v>
      </c>
      <c r="U72" s="4">
        <v>0</v>
      </c>
      <c r="V72" s="4">
        <v>35</v>
      </c>
      <c r="W72" s="4">
        <v>0</v>
      </c>
    </row>
    <row r="73" spans="1:23" ht="11.25" customHeight="1" x14ac:dyDescent="0.3">
      <c r="A73" s="4" t="s">
        <v>21</v>
      </c>
      <c r="B73" s="4" t="s">
        <v>38</v>
      </c>
      <c r="C73" s="4" t="s">
        <v>39</v>
      </c>
      <c r="D73" s="4" t="s">
        <v>49</v>
      </c>
      <c r="E73" s="4" t="s">
        <v>25</v>
      </c>
      <c r="F73" s="4" t="s">
        <v>50</v>
      </c>
      <c r="G73" s="4" t="s">
        <v>25</v>
      </c>
      <c r="H73" s="4" t="s">
        <v>40</v>
      </c>
      <c r="I73" s="5">
        <v>44774</v>
      </c>
      <c r="J73" s="6">
        <v>0</v>
      </c>
      <c r="K73" s="6">
        <v>0</v>
      </c>
      <c r="L73" s="6">
        <v>92.382999999999996</v>
      </c>
      <c r="M73" s="6">
        <v>47.998565062140003</v>
      </c>
      <c r="N73" s="6">
        <v>0</v>
      </c>
      <c r="O73" s="6">
        <v>0</v>
      </c>
      <c r="P73" s="6">
        <v>0</v>
      </c>
      <c r="Q73" s="4" t="s">
        <v>51</v>
      </c>
      <c r="R73" s="4">
        <v>0</v>
      </c>
      <c r="S73" s="4" t="s">
        <v>124</v>
      </c>
      <c r="U73" s="4">
        <v>0</v>
      </c>
      <c r="V73" s="4">
        <v>35</v>
      </c>
      <c r="W73" s="4">
        <v>0</v>
      </c>
    </row>
    <row r="74" spans="1:23" ht="11.25" customHeight="1" x14ac:dyDescent="0.3">
      <c r="A74" s="4" t="s">
        <v>21</v>
      </c>
      <c r="B74" s="4" t="s">
        <v>38</v>
      </c>
      <c r="C74" s="4" t="s">
        <v>39</v>
      </c>
      <c r="D74" s="4" t="s">
        <v>47</v>
      </c>
      <c r="E74" s="4" t="s">
        <v>48</v>
      </c>
      <c r="F74" s="4" t="s">
        <v>25</v>
      </c>
      <c r="G74" s="4" t="s">
        <v>25</v>
      </c>
      <c r="H74" s="4" t="s">
        <v>34</v>
      </c>
      <c r="I74" s="5">
        <v>44440</v>
      </c>
      <c r="J74" s="6">
        <v>0</v>
      </c>
      <c r="K74" s="6">
        <v>0</v>
      </c>
      <c r="L74" s="6">
        <v>215.23599999999999</v>
      </c>
      <c r="M74" s="6">
        <v>202.32184000000001</v>
      </c>
      <c r="N74" s="6">
        <v>215.23599999999999</v>
      </c>
      <c r="O74" s="6">
        <v>202.32184000000001</v>
      </c>
      <c r="P74" s="6">
        <v>0</v>
      </c>
      <c r="Q74" s="4" t="s">
        <v>26</v>
      </c>
      <c r="R74" s="4">
        <v>0</v>
      </c>
      <c r="S74" s="4" t="s">
        <v>89</v>
      </c>
      <c r="T74" s="4" t="s">
        <v>246</v>
      </c>
      <c r="U74" s="4">
        <v>0</v>
      </c>
      <c r="V74" s="4">
        <v>40</v>
      </c>
      <c r="W74" s="4">
        <v>65</v>
      </c>
    </row>
    <row r="75" spans="1:23" ht="11.25" customHeight="1" x14ac:dyDescent="0.3">
      <c r="A75" s="4" t="s">
        <v>21</v>
      </c>
      <c r="B75" s="4" t="s">
        <v>38</v>
      </c>
      <c r="C75" s="4" t="s">
        <v>39</v>
      </c>
      <c r="D75" s="4" t="s">
        <v>47</v>
      </c>
      <c r="E75" s="4" t="s">
        <v>48</v>
      </c>
      <c r="F75" s="4" t="s">
        <v>25</v>
      </c>
      <c r="G75" s="4" t="s">
        <v>25</v>
      </c>
      <c r="H75" s="4" t="s">
        <v>34</v>
      </c>
      <c r="I75" s="5">
        <v>44470</v>
      </c>
      <c r="J75" s="6">
        <v>0</v>
      </c>
      <c r="K75" s="6">
        <v>0</v>
      </c>
      <c r="L75" s="6">
        <v>221.91499999999999</v>
      </c>
      <c r="M75" s="6">
        <v>208.6001</v>
      </c>
      <c r="N75" s="6">
        <v>221.91499999999999</v>
      </c>
      <c r="O75" s="6">
        <v>208.6001</v>
      </c>
      <c r="P75" s="6">
        <v>0</v>
      </c>
      <c r="Q75" s="4" t="s">
        <v>26</v>
      </c>
      <c r="R75" s="4">
        <v>0</v>
      </c>
      <c r="S75" s="4" t="s">
        <v>90</v>
      </c>
      <c r="T75" s="4" t="s">
        <v>247</v>
      </c>
      <c r="U75" s="4">
        <v>0</v>
      </c>
      <c r="V75" s="4">
        <v>40</v>
      </c>
      <c r="W75" s="4">
        <v>65</v>
      </c>
    </row>
    <row r="76" spans="1:23" ht="11.25" customHeight="1" x14ac:dyDescent="0.3">
      <c r="A76" s="4" t="s">
        <v>21</v>
      </c>
      <c r="B76" s="4" t="s">
        <v>38</v>
      </c>
      <c r="C76" s="4" t="s">
        <v>39</v>
      </c>
      <c r="D76" s="4" t="s">
        <v>47</v>
      </c>
      <c r="E76" s="4" t="s">
        <v>48</v>
      </c>
      <c r="F76" s="4" t="s">
        <v>25</v>
      </c>
      <c r="G76" s="4" t="s">
        <v>25</v>
      </c>
      <c r="H76" s="4" t="s">
        <v>34</v>
      </c>
      <c r="I76" s="5">
        <v>44501</v>
      </c>
      <c r="J76" s="6">
        <v>0</v>
      </c>
      <c r="K76" s="6">
        <v>0</v>
      </c>
      <c r="L76" s="6">
        <v>214.208</v>
      </c>
      <c r="M76" s="6">
        <v>201.35552000000001</v>
      </c>
      <c r="N76" s="6">
        <v>214.208</v>
      </c>
      <c r="O76" s="6">
        <v>201.35552000000001</v>
      </c>
      <c r="P76" s="6">
        <v>0</v>
      </c>
      <c r="Q76" s="4" t="s">
        <v>26</v>
      </c>
      <c r="R76" s="4">
        <v>0</v>
      </c>
      <c r="S76" s="4" t="s">
        <v>91</v>
      </c>
      <c r="T76" s="4" t="s">
        <v>248</v>
      </c>
      <c r="U76" s="4">
        <v>0</v>
      </c>
      <c r="V76" s="4">
        <v>40</v>
      </c>
      <c r="W76" s="4">
        <v>65</v>
      </c>
    </row>
    <row r="77" spans="1:23" ht="11.25" customHeight="1" x14ac:dyDescent="0.3">
      <c r="A77" s="4" t="s">
        <v>21</v>
      </c>
      <c r="B77" s="4" t="s">
        <v>38</v>
      </c>
      <c r="C77" s="4" t="s">
        <v>39</v>
      </c>
      <c r="D77" s="4" t="s">
        <v>47</v>
      </c>
      <c r="E77" s="4" t="s">
        <v>48</v>
      </c>
      <c r="F77" s="4" t="s">
        <v>25</v>
      </c>
      <c r="G77" s="4" t="s">
        <v>25</v>
      </c>
      <c r="H77" s="4" t="s">
        <v>34</v>
      </c>
      <c r="I77" s="5">
        <v>44531</v>
      </c>
      <c r="J77" s="6">
        <v>0</v>
      </c>
      <c r="K77" s="6">
        <v>0</v>
      </c>
      <c r="L77" s="6">
        <v>220.203</v>
      </c>
      <c r="M77" s="6">
        <v>206.99082000000001</v>
      </c>
      <c r="N77" s="6">
        <v>220.203</v>
      </c>
      <c r="O77" s="6">
        <v>206.99082000000001</v>
      </c>
      <c r="P77" s="6">
        <v>0</v>
      </c>
      <c r="Q77" s="4" t="s">
        <v>26</v>
      </c>
      <c r="R77" s="4">
        <v>0</v>
      </c>
      <c r="S77" s="4" t="s">
        <v>92</v>
      </c>
      <c r="T77" s="4" t="s">
        <v>249</v>
      </c>
      <c r="U77" s="4">
        <v>0</v>
      </c>
      <c r="V77" s="4">
        <v>40</v>
      </c>
      <c r="W77" s="4">
        <v>65</v>
      </c>
    </row>
    <row r="78" spans="1:23" ht="11.25" customHeight="1" x14ac:dyDescent="0.3">
      <c r="A78" s="4" t="s">
        <v>21</v>
      </c>
      <c r="B78" s="4" t="s">
        <v>38</v>
      </c>
      <c r="C78" s="4" t="s">
        <v>39</v>
      </c>
      <c r="D78" s="4" t="s">
        <v>47</v>
      </c>
      <c r="E78" s="4" t="s">
        <v>48</v>
      </c>
      <c r="F78" s="4" t="s">
        <v>25</v>
      </c>
      <c r="G78" s="4" t="s">
        <v>25</v>
      </c>
      <c r="H78" s="4" t="s">
        <v>34</v>
      </c>
      <c r="I78" s="5">
        <v>44562</v>
      </c>
      <c r="J78" s="6">
        <v>0</v>
      </c>
      <c r="K78" s="6">
        <v>0</v>
      </c>
      <c r="L78" s="6">
        <v>200.84200000000001</v>
      </c>
      <c r="M78" s="6">
        <v>188.79148000000001</v>
      </c>
      <c r="N78" s="6">
        <v>200.84200000000001</v>
      </c>
      <c r="O78" s="6">
        <v>188.79148000000001</v>
      </c>
      <c r="P78" s="6">
        <v>0</v>
      </c>
      <c r="Q78" s="4" t="s">
        <v>26</v>
      </c>
      <c r="R78" s="4">
        <v>0</v>
      </c>
      <c r="S78" s="4" t="s">
        <v>93</v>
      </c>
      <c r="T78" s="4" t="s">
        <v>250</v>
      </c>
      <c r="U78" s="4">
        <v>0</v>
      </c>
      <c r="V78" s="4">
        <v>40</v>
      </c>
      <c r="W78" s="4">
        <v>65</v>
      </c>
    </row>
    <row r="79" spans="1:23" ht="11.25" customHeight="1" x14ac:dyDescent="0.3">
      <c r="A79" s="4" t="s">
        <v>21</v>
      </c>
      <c r="B79" s="4" t="s">
        <v>38</v>
      </c>
      <c r="C79" s="4" t="s">
        <v>39</v>
      </c>
      <c r="D79" s="4" t="s">
        <v>47</v>
      </c>
      <c r="E79" s="4" t="s">
        <v>48</v>
      </c>
      <c r="F79" s="4" t="s">
        <v>25</v>
      </c>
      <c r="G79" s="4" t="s">
        <v>25</v>
      </c>
      <c r="H79" s="4" t="s">
        <v>34</v>
      </c>
      <c r="I79" s="5">
        <v>44593</v>
      </c>
      <c r="J79" s="6">
        <v>0</v>
      </c>
      <c r="K79" s="6">
        <v>0</v>
      </c>
      <c r="L79" s="6">
        <v>193.44</v>
      </c>
      <c r="M79" s="6">
        <v>181.83359999999999</v>
      </c>
      <c r="N79" s="6">
        <v>193.44</v>
      </c>
      <c r="O79" s="6">
        <v>181.83359999999999</v>
      </c>
      <c r="P79" s="6">
        <v>0</v>
      </c>
      <c r="Q79" s="4" t="s">
        <v>26</v>
      </c>
      <c r="R79" s="4">
        <v>0</v>
      </c>
      <c r="S79" s="4" t="s">
        <v>94</v>
      </c>
      <c r="T79" s="4" t="s">
        <v>251</v>
      </c>
      <c r="U79" s="4">
        <v>0</v>
      </c>
      <c r="V79" s="4">
        <v>40</v>
      </c>
      <c r="W79" s="4">
        <v>65</v>
      </c>
    </row>
    <row r="80" spans="1:23" ht="11.25" customHeight="1" x14ac:dyDescent="0.3">
      <c r="A80" s="4" t="s">
        <v>21</v>
      </c>
      <c r="B80" s="4" t="s">
        <v>38</v>
      </c>
      <c r="C80" s="4" t="s">
        <v>39</v>
      </c>
      <c r="D80" s="4" t="s">
        <v>47</v>
      </c>
      <c r="E80" s="4" t="s">
        <v>48</v>
      </c>
      <c r="F80" s="4" t="s">
        <v>25</v>
      </c>
      <c r="G80" s="4" t="s">
        <v>25</v>
      </c>
      <c r="H80" s="4" t="s">
        <v>34</v>
      </c>
      <c r="I80" s="5">
        <v>44621</v>
      </c>
      <c r="J80" s="6">
        <v>0</v>
      </c>
      <c r="K80" s="6">
        <v>0</v>
      </c>
      <c r="L80" s="6">
        <v>190.35400000000001</v>
      </c>
      <c r="M80" s="6">
        <v>178.93276</v>
      </c>
      <c r="N80" s="6">
        <v>190.35400000000001</v>
      </c>
      <c r="O80" s="6">
        <v>178.93276</v>
      </c>
      <c r="P80" s="6">
        <v>0</v>
      </c>
      <c r="Q80" s="4" t="s">
        <v>26</v>
      </c>
      <c r="R80" s="4">
        <v>0</v>
      </c>
      <c r="S80" s="4" t="s">
        <v>95</v>
      </c>
      <c r="T80" s="4" t="s">
        <v>252</v>
      </c>
      <c r="U80" s="4">
        <v>0</v>
      </c>
      <c r="V80" s="4">
        <v>40</v>
      </c>
      <c r="W80" s="4">
        <v>65</v>
      </c>
    </row>
    <row r="81" spans="1:23" ht="11.25" customHeight="1" x14ac:dyDescent="0.3">
      <c r="A81" s="4" t="s">
        <v>21</v>
      </c>
      <c r="B81" s="4" t="s">
        <v>38</v>
      </c>
      <c r="C81" s="4" t="s">
        <v>39</v>
      </c>
      <c r="D81" s="4" t="s">
        <v>47</v>
      </c>
      <c r="E81" s="4" t="s">
        <v>48</v>
      </c>
      <c r="F81" s="4" t="s">
        <v>25</v>
      </c>
      <c r="G81" s="4" t="s">
        <v>25</v>
      </c>
      <c r="H81" s="4" t="s">
        <v>34</v>
      </c>
      <c r="I81" s="5">
        <v>44652</v>
      </c>
      <c r="J81" s="6">
        <v>0</v>
      </c>
      <c r="K81" s="6">
        <v>0</v>
      </c>
      <c r="L81" s="6">
        <v>187.297</v>
      </c>
      <c r="M81" s="6">
        <v>176.05918</v>
      </c>
      <c r="N81" s="6">
        <v>187.297</v>
      </c>
      <c r="O81" s="6">
        <v>176.05918</v>
      </c>
      <c r="P81" s="6">
        <v>0</v>
      </c>
      <c r="Q81" s="4" t="s">
        <v>26</v>
      </c>
      <c r="R81" s="4">
        <v>0</v>
      </c>
      <c r="S81" s="4" t="s">
        <v>96</v>
      </c>
      <c r="T81" s="4" t="s">
        <v>253</v>
      </c>
      <c r="U81" s="4">
        <v>0</v>
      </c>
      <c r="V81" s="4">
        <v>40</v>
      </c>
      <c r="W81" s="4">
        <v>65</v>
      </c>
    </row>
    <row r="82" spans="1:23" ht="11.25" customHeight="1" x14ac:dyDescent="0.3">
      <c r="A82" s="4" t="s">
        <v>21</v>
      </c>
      <c r="B82" s="4" t="s">
        <v>38</v>
      </c>
      <c r="C82" s="4" t="s">
        <v>39</v>
      </c>
      <c r="D82" s="4" t="s">
        <v>47</v>
      </c>
      <c r="E82" s="4" t="s">
        <v>48</v>
      </c>
      <c r="F82" s="4" t="s">
        <v>25</v>
      </c>
      <c r="G82" s="4" t="s">
        <v>25</v>
      </c>
      <c r="H82" s="4" t="s">
        <v>34</v>
      </c>
      <c r="I82" s="5">
        <v>44682</v>
      </c>
      <c r="J82" s="6">
        <v>0</v>
      </c>
      <c r="K82" s="6">
        <v>0</v>
      </c>
      <c r="L82" s="6">
        <v>206.12899999999999</v>
      </c>
      <c r="M82" s="6">
        <v>193.76125999999999</v>
      </c>
      <c r="N82" s="6">
        <v>206.12899999999999</v>
      </c>
      <c r="O82" s="6">
        <v>193.76125999999999</v>
      </c>
      <c r="P82" s="6">
        <v>0</v>
      </c>
      <c r="Q82" s="4" t="s">
        <v>26</v>
      </c>
      <c r="R82" s="4">
        <v>0</v>
      </c>
      <c r="S82" s="4" t="s">
        <v>97</v>
      </c>
      <c r="T82" s="4" t="s">
        <v>254</v>
      </c>
      <c r="U82" s="4">
        <v>0</v>
      </c>
      <c r="V82" s="4">
        <v>40</v>
      </c>
      <c r="W82" s="4">
        <v>65</v>
      </c>
    </row>
    <row r="83" spans="1:23" ht="11.25" customHeight="1" x14ac:dyDescent="0.3">
      <c r="A83" s="4" t="s">
        <v>21</v>
      </c>
      <c r="B83" s="4" t="s">
        <v>38</v>
      </c>
      <c r="C83" s="4" t="s">
        <v>39</v>
      </c>
      <c r="D83" s="4" t="s">
        <v>47</v>
      </c>
      <c r="E83" s="4" t="s">
        <v>48</v>
      </c>
      <c r="F83" s="4" t="s">
        <v>25</v>
      </c>
      <c r="G83" s="4" t="s">
        <v>25</v>
      </c>
      <c r="H83" s="4" t="s">
        <v>34</v>
      </c>
      <c r="I83" s="5">
        <v>44713</v>
      </c>
      <c r="J83" s="6">
        <v>0</v>
      </c>
      <c r="K83" s="6">
        <v>0</v>
      </c>
      <c r="L83" s="6">
        <v>198.251</v>
      </c>
      <c r="M83" s="6">
        <v>186.35594</v>
      </c>
      <c r="N83" s="6">
        <v>198.251</v>
      </c>
      <c r="O83" s="6">
        <v>186.35594</v>
      </c>
      <c r="P83" s="6">
        <v>0</v>
      </c>
      <c r="Q83" s="4" t="s">
        <v>26</v>
      </c>
      <c r="R83" s="4">
        <v>0</v>
      </c>
      <c r="S83" s="4" t="s">
        <v>98</v>
      </c>
      <c r="T83" s="4" t="s">
        <v>255</v>
      </c>
      <c r="U83" s="4">
        <v>0</v>
      </c>
      <c r="V83" s="4">
        <v>40</v>
      </c>
      <c r="W83" s="4">
        <v>65</v>
      </c>
    </row>
    <row r="84" spans="1:23" ht="11.25" customHeight="1" x14ac:dyDescent="0.3">
      <c r="A84" s="4" t="s">
        <v>21</v>
      </c>
      <c r="B84" s="4" t="s">
        <v>38</v>
      </c>
      <c r="C84" s="4" t="s">
        <v>39</v>
      </c>
      <c r="D84" s="4" t="s">
        <v>47</v>
      </c>
      <c r="E84" s="4" t="s">
        <v>48</v>
      </c>
      <c r="F84" s="4" t="s">
        <v>25</v>
      </c>
      <c r="G84" s="4" t="s">
        <v>25</v>
      </c>
      <c r="H84" s="4" t="s">
        <v>34</v>
      </c>
      <c r="I84" s="5">
        <v>44743</v>
      </c>
      <c r="J84" s="6">
        <v>0</v>
      </c>
      <c r="K84" s="6">
        <v>0</v>
      </c>
      <c r="L84" s="6">
        <v>215.82400000000001</v>
      </c>
      <c r="M84" s="6">
        <v>202.87456</v>
      </c>
      <c r="N84" s="6">
        <v>215.82400000000001</v>
      </c>
      <c r="O84" s="6">
        <v>202.87456</v>
      </c>
      <c r="P84" s="6">
        <v>0</v>
      </c>
      <c r="Q84" s="4" t="s">
        <v>26</v>
      </c>
      <c r="R84" s="4">
        <v>0</v>
      </c>
      <c r="S84" s="4" t="s">
        <v>99</v>
      </c>
      <c r="T84" s="4" t="s">
        <v>256</v>
      </c>
      <c r="U84" s="4">
        <v>0</v>
      </c>
      <c r="V84" s="4">
        <v>40</v>
      </c>
      <c r="W84" s="4">
        <v>65</v>
      </c>
    </row>
    <row r="85" spans="1:23" ht="11.25" customHeight="1" x14ac:dyDescent="0.3">
      <c r="A85" s="4" t="s">
        <v>21</v>
      </c>
      <c r="B85" s="4" t="s">
        <v>38</v>
      </c>
      <c r="C85" s="4" t="s">
        <v>39</v>
      </c>
      <c r="D85" s="4" t="s">
        <v>47</v>
      </c>
      <c r="E85" s="4" t="s">
        <v>48</v>
      </c>
      <c r="F85" s="4" t="s">
        <v>25</v>
      </c>
      <c r="G85" s="4" t="s">
        <v>25</v>
      </c>
      <c r="H85" s="4" t="s">
        <v>34</v>
      </c>
      <c r="I85" s="5">
        <v>44774</v>
      </c>
      <c r="J85" s="6">
        <v>0</v>
      </c>
      <c r="K85" s="6">
        <v>0</v>
      </c>
      <c r="L85" s="6">
        <v>211.61</v>
      </c>
      <c r="M85" s="6">
        <v>198.9134</v>
      </c>
      <c r="N85" s="6">
        <v>211.61</v>
      </c>
      <c r="O85" s="6">
        <v>198.9134</v>
      </c>
      <c r="P85" s="6">
        <v>0</v>
      </c>
      <c r="Q85" s="4" t="s">
        <v>26</v>
      </c>
      <c r="R85" s="4">
        <v>0</v>
      </c>
      <c r="S85" s="4" t="s">
        <v>100</v>
      </c>
      <c r="T85" s="4" t="s">
        <v>257</v>
      </c>
      <c r="U85" s="4">
        <v>0</v>
      </c>
      <c r="V85" s="4">
        <v>40</v>
      </c>
      <c r="W85" s="4">
        <v>65</v>
      </c>
    </row>
    <row r="86" spans="1:23" ht="11.25" customHeight="1" x14ac:dyDescent="0.3">
      <c r="A86" s="4" t="s">
        <v>21</v>
      </c>
      <c r="B86" s="4" t="s">
        <v>38</v>
      </c>
      <c r="C86" s="4" t="s">
        <v>39</v>
      </c>
      <c r="D86" s="4" t="s">
        <v>47</v>
      </c>
      <c r="E86" s="4" t="s">
        <v>48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906</v>
      </c>
      <c r="K86" s="6">
        <v>851.64</v>
      </c>
      <c r="L86" s="6">
        <v>0</v>
      </c>
      <c r="M86" s="6">
        <v>0</v>
      </c>
      <c r="N86" s="6">
        <v>0</v>
      </c>
      <c r="O86" s="6">
        <v>0</v>
      </c>
      <c r="P86" s="6">
        <v>3</v>
      </c>
      <c r="Q86" s="4" t="s">
        <v>26</v>
      </c>
      <c r="R86" s="4">
        <v>0</v>
      </c>
      <c r="S86" s="4" t="s">
        <v>101</v>
      </c>
      <c r="U86" s="4">
        <v>47</v>
      </c>
      <c r="V86" s="4">
        <v>0</v>
      </c>
      <c r="W86" s="4">
        <v>0</v>
      </c>
    </row>
    <row r="87" spans="1:23" ht="11.25" customHeight="1" x14ac:dyDescent="0.3">
      <c r="A87" s="4" t="s">
        <v>21</v>
      </c>
      <c r="B87" s="4" t="s">
        <v>38</v>
      </c>
      <c r="C87" s="4" t="s">
        <v>39</v>
      </c>
      <c r="D87" s="4" t="s">
        <v>47</v>
      </c>
      <c r="E87" s="4" t="s">
        <v>48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906</v>
      </c>
      <c r="K87" s="6">
        <v>851.64</v>
      </c>
      <c r="L87" s="6">
        <v>0</v>
      </c>
      <c r="M87" s="6">
        <v>0</v>
      </c>
      <c r="N87" s="6">
        <v>0</v>
      </c>
      <c r="O87" s="6">
        <v>0</v>
      </c>
      <c r="P87" s="6">
        <v>3</v>
      </c>
      <c r="Q87" s="4" t="s">
        <v>26</v>
      </c>
      <c r="R87" s="4">
        <v>0</v>
      </c>
      <c r="S87" s="4" t="s">
        <v>102</v>
      </c>
      <c r="U87" s="4">
        <v>47</v>
      </c>
      <c r="V87" s="4">
        <v>0</v>
      </c>
      <c r="W87" s="4">
        <v>0</v>
      </c>
    </row>
    <row r="88" spans="1:23" ht="11.25" customHeight="1" x14ac:dyDescent="0.3">
      <c r="A88" s="4" t="s">
        <v>21</v>
      </c>
      <c r="B88" s="4" t="s">
        <v>38</v>
      </c>
      <c r="C88" s="4" t="s">
        <v>39</v>
      </c>
      <c r="D88" s="4" t="s">
        <v>47</v>
      </c>
      <c r="E88" s="4" t="s">
        <v>48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906</v>
      </c>
      <c r="K88" s="6">
        <v>851.64</v>
      </c>
      <c r="L88" s="6">
        <v>0</v>
      </c>
      <c r="M88" s="6">
        <v>0</v>
      </c>
      <c r="N88" s="6">
        <v>0</v>
      </c>
      <c r="O88" s="6">
        <v>0</v>
      </c>
      <c r="P88" s="6">
        <v>3</v>
      </c>
      <c r="Q88" s="4" t="s">
        <v>26</v>
      </c>
      <c r="R88" s="4">
        <v>0</v>
      </c>
      <c r="S88" s="4" t="s">
        <v>103</v>
      </c>
      <c r="U88" s="4">
        <v>47</v>
      </c>
      <c r="V88" s="4">
        <v>0</v>
      </c>
      <c r="W88" s="4">
        <v>0</v>
      </c>
    </row>
    <row r="89" spans="1:23" ht="11.25" customHeight="1" x14ac:dyDescent="0.3">
      <c r="A89" s="4" t="s">
        <v>21</v>
      </c>
      <c r="B89" s="4" t="s">
        <v>38</v>
      </c>
      <c r="C89" s="4" t="s">
        <v>39</v>
      </c>
      <c r="D89" s="4" t="s">
        <v>47</v>
      </c>
      <c r="E89" s="4" t="s">
        <v>48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906</v>
      </c>
      <c r="K89" s="6">
        <v>851.64</v>
      </c>
      <c r="L89" s="6">
        <v>0</v>
      </c>
      <c r="M89" s="6">
        <v>0</v>
      </c>
      <c r="N89" s="6">
        <v>0</v>
      </c>
      <c r="O89" s="6">
        <v>0</v>
      </c>
      <c r="P89" s="6">
        <v>3</v>
      </c>
      <c r="Q89" s="4" t="s">
        <v>26</v>
      </c>
      <c r="R89" s="4">
        <v>0</v>
      </c>
      <c r="S89" s="4" t="s">
        <v>104</v>
      </c>
      <c r="U89" s="4">
        <v>47</v>
      </c>
      <c r="V89" s="4">
        <v>0</v>
      </c>
      <c r="W89" s="4">
        <v>0</v>
      </c>
    </row>
    <row r="90" spans="1:23" ht="11.25" customHeight="1" x14ac:dyDescent="0.3">
      <c r="A90" s="4" t="s">
        <v>21</v>
      </c>
      <c r="B90" s="4" t="s">
        <v>38</v>
      </c>
      <c r="C90" s="4" t="s">
        <v>39</v>
      </c>
      <c r="D90" s="4" t="s">
        <v>47</v>
      </c>
      <c r="E90" s="4" t="s">
        <v>48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556</v>
      </c>
      <c r="K90" s="6">
        <v>522.64</v>
      </c>
      <c r="L90" s="6">
        <v>0</v>
      </c>
      <c r="M90" s="6">
        <v>0</v>
      </c>
      <c r="N90" s="6">
        <v>0</v>
      </c>
      <c r="O90" s="6">
        <v>0</v>
      </c>
      <c r="P90" s="6">
        <v>2</v>
      </c>
      <c r="Q90" s="4" t="s">
        <v>26</v>
      </c>
      <c r="R90" s="4">
        <v>0</v>
      </c>
      <c r="S90" s="4" t="s">
        <v>105</v>
      </c>
      <c r="U90" s="4">
        <v>47</v>
      </c>
      <c r="V90" s="4">
        <v>0</v>
      </c>
      <c r="W90" s="4">
        <v>0</v>
      </c>
    </row>
    <row r="91" spans="1:23" ht="11.25" customHeight="1" x14ac:dyDescent="0.3">
      <c r="A91" s="4" t="s">
        <v>21</v>
      </c>
      <c r="B91" s="4" t="s">
        <v>38</v>
      </c>
      <c r="C91" s="4" t="s">
        <v>39</v>
      </c>
      <c r="D91" s="4" t="s">
        <v>47</v>
      </c>
      <c r="E91" s="4" t="s">
        <v>48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556</v>
      </c>
      <c r="K91" s="6">
        <v>522.64</v>
      </c>
      <c r="L91" s="6">
        <v>0</v>
      </c>
      <c r="M91" s="6">
        <v>0</v>
      </c>
      <c r="N91" s="6">
        <v>0</v>
      </c>
      <c r="O91" s="6">
        <v>0</v>
      </c>
      <c r="P91" s="6">
        <v>2</v>
      </c>
      <c r="Q91" s="4" t="s">
        <v>26</v>
      </c>
      <c r="R91" s="4">
        <v>0</v>
      </c>
      <c r="S91" s="4" t="s">
        <v>106</v>
      </c>
      <c r="U91" s="4">
        <v>47</v>
      </c>
      <c r="V91" s="4">
        <v>0</v>
      </c>
      <c r="W91" s="4">
        <v>0</v>
      </c>
    </row>
    <row r="92" spans="1:23" ht="11.25" customHeight="1" x14ac:dyDescent="0.3">
      <c r="A92" s="4" t="s">
        <v>21</v>
      </c>
      <c r="B92" s="4" t="s">
        <v>38</v>
      </c>
      <c r="C92" s="4" t="s">
        <v>39</v>
      </c>
      <c r="D92" s="4" t="s">
        <v>47</v>
      </c>
      <c r="E92" s="4" t="s">
        <v>48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556</v>
      </c>
      <c r="K92" s="6">
        <v>522.64</v>
      </c>
      <c r="L92" s="6">
        <v>0</v>
      </c>
      <c r="M92" s="6">
        <v>0</v>
      </c>
      <c r="N92" s="6">
        <v>0</v>
      </c>
      <c r="O92" s="6">
        <v>0</v>
      </c>
      <c r="P92" s="6">
        <v>2</v>
      </c>
      <c r="Q92" s="4" t="s">
        <v>26</v>
      </c>
      <c r="R92" s="4">
        <v>0</v>
      </c>
      <c r="S92" s="4" t="s">
        <v>107</v>
      </c>
      <c r="U92" s="4">
        <v>47</v>
      </c>
      <c r="V92" s="4">
        <v>0</v>
      </c>
      <c r="W92" s="4">
        <v>0</v>
      </c>
    </row>
    <row r="93" spans="1:23" ht="11.25" customHeight="1" x14ac:dyDescent="0.3">
      <c r="A93" s="4" t="s">
        <v>21</v>
      </c>
      <c r="B93" s="4" t="s">
        <v>38</v>
      </c>
      <c r="C93" s="4" t="s">
        <v>39</v>
      </c>
      <c r="D93" s="4" t="s">
        <v>47</v>
      </c>
      <c r="E93" s="4" t="s">
        <v>48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556</v>
      </c>
      <c r="K93" s="6">
        <v>522.64</v>
      </c>
      <c r="L93" s="6">
        <v>0</v>
      </c>
      <c r="M93" s="6">
        <v>0</v>
      </c>
      <c r="N93" s="6">
        <v>0</v>
      </c>
      <c r="O93" s="6">
        <v>0</v>
      </c>
      <c r="P93" s="6">
        <v>2</v>
      </c>
      <c r="Q93" s="4" t="s">
        <v>26</v>
      </c>
      <c r="R93" s="4">
        <v>0</v>
      </c>
      <c r="S93" s="4" t="s">
        <v>108</v>
      </c>
      <c r="U93" s="4">
        <v>47</v>
      </c>
      <c r="V93" s="4">
        <v>0</v>
      </c>
      <c r="W93" s="4">
        <v>0</v>
      </c>
    </row>
    <row r="94" spans="1:23" ht="11.25" customHeight="1" x14ac:dyDescent="0.3">
      <c r="A94" s="4" t="s">
        <v>21</v>
      </c>
      <c r="B94" s="4" t="s">
        <v>38</v>
      </c>
      <c r="C94" s="4" t="s">
        <v>39</v>
      </c>
      <c r="D94" s="4" t="s">
        <v>47</v>
      </c>
      <c r="E94" s="4" t="s">
        <v>48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556</v>
      </c>
      <c r="K94" s="6">
        <v>522.64</v>
      </c>
      <c r="L94" s="6">
        <v>0</v>
      </c>
      <c r="M94" s="6">
        <v>0</v>
      </c>
      <c r="N94" s="6">
        <v>0</v>
      </c>
      <c r="O94" s="6">
        <v>0</v>
      </c>
      <c r="P94" s="6">
        <v>2</v>
      </c>
      <c r="Q94" s="4" t="s">
        <v>26</v>
      </c>
      <c r="R94" s="4">
        <v>0</v>
      </c>
      <c r="S94" s="4" t="s">
        <v>109</v>
      </c>
      <c r="U94" s="4">
        <v>47</v>
      </c>
      <c r="V94" s="4">
        <v>0</v>
      </c>
      <c r="W94" s="4">
        <v>0</v>
      </c>
    </row>
    <row r="95" spans="1:23" ht="11.25" customHeight="1" x14ac:dyDescent="0.3">
      <c r="A95" s="4" t="s">
        <v>21</v>
      </c>
      <c r="B95" s="4" t="s">
        <v>38</v>
      </c>
      <c r="C95" s="4" t="s">
        <v>39</v>
      </c>
      <c r="D95" s="4" t="s">
        <v>47</v>
      </c>
      <c r="E95" s="4" t="s">
        <v>48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556</v>
      </c>
      <c r="K95" s="6">
        <v>522.64</v>
      </c>
      <c r="L95" s="6">
        <v>0</v>
      </c>
      <c r="M95" s="6">
        <v>0</v>
      </c>
      <c r="N95" s="6">
        <v>0</v>
      </c>
      <c r="O95" s="6">
        <v>0</v>
      </c>
      <c r="P95" s="6">
        <v>2</v>
      </c>
      <c r="Q95" s="4" t="s">
        <v>26</v>
      </c>
      <c r="R95" s="4">
        <v>0</v>
      </c>
      <c r="S95" s="4" t="s">
        <v>110</v>
      </c>
      <c r="U95" s="4">
        <v>47</v>
      </c>
      <c r="V95" s="4">
        <v>0</v>
      </c>
      <c r="W95" s="4">
        <v>0</v>
      </c>
    </row>
    <row r="96" spans="1:23" ht="11.25" customHeight="1" x14ac:dyDescent="0.3">
      <c r="A96" s="4" t="s">
        <v>21</v>
      </c>
      <c r="B96" s="4" t="s">
        <v>38</v>
      </c>
      <c r="C96" s="4" t="s">
        <v>39</v>
      </c>
      <c r="D96" s="4" t="s">
        <v>47</v>
      </c>
      <c r="E96" s="4" t="s">
        <v>48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557</v>
      </c>
      <c r="K96" s="6">
        <v>523.58000000000004</v>
      </c>
      <c r="L96" s="6">
        <v>0</v>
      </c>
      <c r="M96" s="6">
        <v>0</v>
      </c>
      <c r="N96" s="6">
        <v>0</v>
      </c>
      <c r="O96" s="6">
        <v>0</v>
      </c>
      <c r="P96" s="6">
        <v>2</v>
      </c>
      <c r="Q96" s="4" t="s">
        <v>26</v>
      </c>
      <c r="R96" s="4">
        <v>0</v>
      </c>
      <c r="S96" s="4" t="s">
        <v>111</v>
      </c>
      <c r="U96" s="4">
        <v>47</v>
      </c>
      <c r="V96" s="4">
        <v>0</v>
      </c>
      <c r="W96" s="4">
        <v>0</v>
      </c>
    </row>
    <row r="97" spans="1:23" ht="11.25" customHeight="1" x14ac:dyDescent="0.3">
      <c r="A97" s="4" t="s">
        <v>21</v>
      </c>
      <c r="B97" s="4" t="s">
        <v>38</v>
      </c>
      <c r="C97" s="4" t="s">
        <v>39</v>
      </c>
      <c r="D97" s="4" t="s">
        <v>47</v>
      </c>
      <c r="E97" s="4" t="s">
        <v>48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556</v>
      </c>
      <c r="K97" s="6">
        <v>522.64</v>
      </c>
      <c r="L97" s="6">
        <v>0</v>
      </c>
      <c r="M97" s="6">
        <v>0</v>
      </c>
      <c r="N97" s="6">
        <v>0</v>
      </c>
      <c r="O97" s="6">
        <v>0</v>
      </c>
      <c r="P97" s="6">
        <v>2</v>
      </c>
      <c r="Q97" s="4" t="s">
        <v>26</v>
      </c>
      <c r="R97" s="4">
        <v>0</v>
      </c>
      <c r="S97" s="4" t="s">
        <v>112</v>
      </c>
      <c r="U97" s="4">
        <v>47</v>
      </c>
      <c r="V97" s="4">
        <v>0</v>
      </c>
      <c r="W97" s="4">
        <v>0</v>
      </c>
    </row>
    <row r="98" spans="1:23" ht="11.25" customHeight="1" x14ac:dyDescent="0.3">
      <c r="A98" s="4" t="s">
        <v>21</v>
      </c>
      <c r="B98" s="4" t="s">
        <v>38</v>
      </c>
      <c r="C98" s="4" t="s">
        <v>39</v>
      </c>
      <c r="D98" s="4" t="s">
        <v>47</v>
      </c>
      <c r="E98" s="4" t="s">
        <v>48</v>
      </c>
      <c r="F98" s="4" t="s">
        <v>25</v>
      </c>
      <c r="G98" s="4" t="s">
        <v>25</v>
      </c>
      <c r="H98" s="4" t="s">
        <v>40</v>
      </c>
      <c r="I98" s="5">
        <v>44440</v>
      </c>
      <c r="J98" s="6">
        <v>0</v>
      </c>
      <c r="K98" s="6">
        <v>0</v>
      </c>
      <c r="L98" s="6">
        <v>21.111000000000001</v>
      </c>
      <c r="M98" s="6">
        <v>19.844339999999999</v>
      </c>
      <c r="N98" s="6">
        <v>21.111000000000001</v>
      </c>
      <c r="O98" s="6">
        <v>19.844339999999999</v>
      </c>
      <c r="P98" s="6">
        <v>0</v>
      </c>
      <c r="Q98" s="4" t="s">
        <v>26</v>
      </c>
      <c r="R98" s="4">
        <v>0</v>
      </c>
      <c r="S98" s="4" t="s">
        <v>113</v>
      </c>
      <c r="T98" s="4" t="s">
        <v>262</v>
      </c>
      <c r="U98" s="4">
        <v>0</v>
      </c>
      <c r="V98" s="4">
        <v>35</v>
      </c>
      <c r="W98" s="4">
        <v>79</v>
      </c>
    </row>
    <row r="99" spans="1:23" ht="11.25" customHeight="1" x14ac:dyDescent="0.3">
      <c r="A99" s="4" t="s">
        <v>21</v>
      </c>
      <c r="B99" s="4" t="s">
        <v>38</v>
      </c>
      <c r="C99" s="4" t="s">
        <v>39</v>
      </c>
      <c r="D99" s="4" t="s">
        <v>47</v>
      </c>
      <c r="E99" s="4" t="s">
        <v>48</v>
      </c>
      <c r="F99" s="4" t="s">
        <v>25</v>
      </c>
      <c r="G99" s="4" t="s">
        <v>25</v>
      </c>
      <c r="H99" s="4" t="s">
        <v>40</v>
      </c>
      <c r="I99" s="5">
        <v>44470</v>
      </c>
      <c r="J99" s="6">
        <v>0</v>
      </c>
      <c r="K99" s="6">
        <v>0</v>
      </c>
      <c r="L99" s="6">
        <v>19.920999999999999</v>
      </c>
      <c r="M99" s="6">
        <v>18.725739999999998</v>
      </c>
      <c r="N99" s="6">
        <v>19.920999999999999</v>
      </c>
      <c r="O99" s="6">
        <v>18.725739999999998</v>
      </c>
      <c r="P99" s="6">
        <v>0</v>
      </c>
      <c r="Q99" s="4" t="s">
        <v>26</v>
      </c>
      <c r="R99" s="4">
        <v>0</v>
      </c>
      <c r="S99" s="4" t="s">
        <v>114</v>
      </c>
      <c r="T99" s="4" t="s">
        <v>263</v>
      </c>
      <c r="U99" s="4">
        <v>0</v>
      </c>
      <c r="V99" s="4">
        <v>35</v>
      </c>
      <c r="W99" s="4">
        <v>79</v>
      </c>
    </row>
    <row r="100" spans="1:23" ht="11.25" customHeight="1" x14ac:dyDescent="0.3">
      <c r="A100" s="4" t="s">
        <v>21</v>
      </c>
      <c r="B100" s="4" t="s">
        <v>38</v>
      </c>
      <c r="C100" s="4" t="s">
        <v>39</v>
      </c>
      <c r="D100" s="4" t="s">
        <v>47</v>
      </c>
      <c r="E100" s="4" t="s">
        <v>48</v>
      </c>
      <c r="F100" s="4" t="s">
        <v>25</v>
      </c>
      <c r="G100" s="4" t="s">
        <v>25</v>
      </c>
      <c r="H100" s="4" t="s">
        <v>40</v>
      </c>
      <c r="I100" s="5">
        <v>44501</v>
      </c>
      <c r="J100" s="6">
        <v>0</v>
      </c>
      <c r="K100" s="6">
        <v>0</v>
      </c>
      <c r="L100" s="6">
        <v>19.634</v>
      </c>
      <c r="M100" s="6">
        <v>18.455960000000001</v>
      </c>
      <c r="N100" s="6">
        <v>19.634</v>
      </c>
      <c r="O100" s="6">
        <v>18.455960000000001</v>
      </c>
      <c r="P100" s="6">
        <v>0</v>
      </c>
      <c r="Q100" s="4" t="s">
        <v>26</v>
      </c>
      <c r="R100" s="4">
        <v>0</v>
      </c>
      <c r="S100" s="4" t="s">
        <v>115</v>
      </c>
      <c r="T100" s="4" t="s">
        <v>264</v>
      </c>
      <c r="U100" s="4">
        <v>0</v>
      </c>
      <c r="V100" s="4">
        <v>35</v>
      </c>
      <c r="W100" s="4">
        <v>79</v>
      </c>
    </row>
    <row r="101" spans="1:23" ht="11.25" customHeight="1" x14ac:dyDescent="0.3">
      <c r="A101" s="4" t="s">
        <v>21</v>
      </c>
      <c r="B101" s="4" t="s">
        <v>38</v>
      </c>
      <c r="C101" s="4" t="s">
        <v>39</v>
      </c>
      <c r="D101" s="4" t="s">
        <v>47</v>
      </c>
      <c r="E101" s="4" t="s">
        <v>48</v>
      </c>
      <c r="F101" s="4" t="s">
        <v>25</v>
      </c>
      <c r="G101" s="4" t="s">
        <v>25</v>
      </c>
      <c r="H101" s="4" t="s">
        <v>40</v>
      </c>
      <c r="I101" s="5">
        <v>44531</v>
      </c>
      <c r="J101" s="6">
        <v>0</v>
      </c>
      <c r="K101" s="6">
        <v>0</v>
      </c>
      <c r="L101" s="6">
        <v>22.725999999999999</v>
      </c>
      <c r="M101" s="6">
        <v>21.362439999999999</v>
      </c>
      <c r="N101" s="6">
        <v>22.725999999999999</v>
      </c>
      <c r="O101" s="6">
        <v>21.362439999999999</v>
      </c>
      <c r="P101" s="6">
        <v>0</v>
      </c>
      <c r="Q101" s="4" t="s">
        <v>26</v>
      </c>
      <c r="R101" s="4">
        <v>0</v>
      </c>
      <c r="S101" s="4" t="s">
        <v>116</v>
      </c>
      <c r="T101" s="4" t="s">
        <v>265</v>
      </c>
      <c r="U101" s="4">
        <v>0</v>
      </c>
      <c r="V101" s="4">
        <v>35</v>
      </c>
      <c r="W101" s="4">
        <v>79</v>
      </c>
    </row>
    <row r="102" spans="1:23" ht="11.25" customHeight="1" x14ac:dyDescent="0.3">
      <c r="A102" s="4" t="s">
        <v>21</v>
      </c>
      <c r="B102" s="4" t="s">
        <v>38</v>
      </c>
      <c r="C102" s="4" t="s">
        <v>39</v>
      </c>
      <c r="D102" s="4" t="s">
        <v>47</v>
      </c>
      <c r="E102" s="4" t="s">
        <v>48</v>
      </c>
      <c r="F102" s="4" t="s">
        <v>25</v>
      </c>
      <c r="G102" s="4" t="s">
        <v>25</v>
      </c>
      <c r="H102" s="4" t="s">
        <v>40</v>
      </c>
      <c r="I102" s="5">
        <v>44562</v>
      </c>
      <c r="J102" s="6">
        <v>0</v>
      </c>
      <c r="K102" s="6">
        <v>0</v>
      </c>
      <c r="L102" s="6">
        <v>19.664000000000001</v>
      </c>
      <c r="M102" s="6">
        <v>18.484159999999999</v>
      </c>
      <c r="N102" s="6">
        <v>19.664000000000001</v>
      </c>
      <c r="O102" s="6">
        <v>18.484159999999999</v>
      </c>
      <c r="P102" s="6">
        <v>0</v>
      </c>
      <c r="Q102" s="4" t="s">
        <v>26</v>
      </c>
      <c r="R102" s="4">
        <v>0</v>
      </c>
      <c r="S102" s="4" t="s">
        <v>117</v>
      </c>
      <c r="T102" s="4" t="s">
        <v>266</v>
      </c>
      <c r="U102" s="4">
        <v>0</v>
      </c>
      <c r="V102" s="4">
        <v>35</v>
      </c>
      <c r="W102" s="4">
        <v>79</v>
      </c>
    </row>
    <row r="103" spans="1:23" ht="11.25" customHeight="1" x14ac:dyDescent="0.3">
      <c r="A103" s="4" t="s">
        <v>21</v>
      </c>
      <c r="B103" s="4" t="s">
        <v>38</v>
      </c>
      <c r="C103" s="4" t="s">
        <v>39</v>
      </c>
      <c r="D103" s="4" t="s">
        <v>47</v>
      </c>
      <c r="E103" s="4" t="s">
        <v>48</v>
      </c>
      <c r="F103" s="4" t="s">
        <v>25</v>
      </c>
      <c r="G103" s="4" t="s">
        <v>25</v>
      </c>
      <c r="H103" s="4" t="s">
        <v>40</v>
      </c>
      <c r="I103" s="5">
        <v>44593</v>
      </c>
      <c r="J103" s="6">
        <v>0</v>
      </c>
      <c r="K103" s="6">
        <v>0</v>
      </c>
      <c r="L103" s="6">
        <v>18.574000000000002</v>
      </c>
      <c r="M103" s="6">
        <v>17.45956</v>
      </c>
      <c r="N103" s="6">
        <v>18.574000000000002</v>
      </c>
      <c r="O103" s="6">
        <v>17.45956</v>
      </c>
      <c r="P103" s="6">
        <v>0</v>
      </c>
      <c r="Q103" s="4" t="s">
        <v>26</v>
      </c>
      <c r="R103" s="4">
        <v>0</v>
      </c>
      <c r="S103" s="4" t="s">
        <v>118</v>
      </c>
      <c r="T103" s="4" t="s">
        <v>267</v>
      </c>
      <c r="U103" s="4">
        <v>0</v>
      </c>
      <c r="V103" s="4">
        <v>35</v>
      </c>
      <c r="W103" s="4">
        <v>79</v>
      </c>
    </row>
    <row r="104" spans="1:23" ht="11.25" customHeight="1" x14ac:dyDescent="0.3">
      <c r="A104" s="4" t="s">
        <v>21</v>
      </c>
      <c r="B104" s="4" t="s">
        <v>38</v>
      </c>
      <c r="C104" s="4" t="s">
        <v>39</v>
      </c>
      <c r="D104" s="4" t="s">
        <v>47</v>
      </c>
      <c r="E104" s="4" t="s">
        <v>48</v>
      </c>
      <c r="F104" s="4" t="s">
        <v>25</v>
      </c>
      <c r="G104" s="4" t="s">
        <v>25</v>
      </c>
      <c r="H104" s="4" t="s">
        <v>40</v>
      </c>
      <c r="I104" s="5">
        <v>44621</v>
      </c>
      <c r="J104" s="6">
        <v>0</v>
      </c>
      <c r="K104" s="6">
        <v>0</v>
      </c>
      <c r="L104" s="6">
        <v>20.591999999999999</v>
      </c>
      <c r="M104" s="6">
        <v>19.356480000000001</v>
      </c>
      <c r="N104" s="6">
        <v>20.591999999999999</v>
      </c>
      <c r="O104" s="6">
        <v>19.356480000000001</v>
      </c>
      <c r="P104" s="6">
        <v>0</v>
      </c>
      <c r="Q104" s="4" t="s">
        <v>26</v>
      </c>
      <c r="R104" s="4">
        <v>0</v>
      </c>
      <c r="S104" s="4" t="s">
        <v>119</v>
      </c>
      <c r="T104" s="4" t="s">
        <v>268</v>
      </c>
      <c r="U104" s="4">
        <v>0</v>
      </c>
      <c r="V104" s="4">
        <v>35</v>
      </c>
      <c r="W104" s="4">
        <v>79</v>
      </c>
    </row>
    <row r="105" spans="1:23" ht="11.25" customHeight="1" x14ac:dyDescent="0.3">
      <c r="A105" s="4" t="s">
        <v>21</v>
      </c>
      <c r="B105" s="4" t="s">
        <v>38</v>
      </c>
      <c r="C105" s="4" t="s">
        <v>39</v>
      </c>
      <c r="D105" s="4" t="s">
        <v>47</v>
      </c>
      <c r="E105" s="4" t="s">
        <v>48</v>
      </c>
      <c r="F105" s="4" t="s">
        <v>25</v>
      </c>
      <c r="G105" s="4" t="s">
        <v>25</v>
      </c>
      <c r="H105" s="4" t="s">
        <v>40</v>
      </c>
      <c r="I105" s="5">
        <v>44652</v>
      </c>
      <c r="J105" s="6">
        <v>0</v>
      </c>
      <c r="K105" s="6">
        <v>0</v>
      </c>
      <c r="L105" s="6">
        <v>18.384</v>
      </c>
      <c r="M105" s="6">
        <v>17.28096</v>
      </c>
      <c r="N105" s="6">
        <v>18.384</v>
      </c>
      <c r="O105" s="6">
        <v>17.28096</v>
      </c>
      <c r="P105" s="6">
        <v>0</v>
      </c>
      <c r="Q105" s="4" t="s">
        <v>26</v>
      </c>
      <c r="R105" s="4">
        <v>0</v>
      </c>
      <c r="S105" s="4" t="s">
        <v>120</v>
      </c>
      <c r="T105" s="4" t="s">
        <v>269</v>
      </c>
      <c r="U105" s="4">
        <v>0</v>
      </c>
      <c r="V105" s="4">
        <v>35</v>
      </c>
      <c r="W105" s="4">
        <v>79</v>
      </c>
    </row>
    <row r="106" spans="1:23" ht="11.25" customHeight="1" x14ac:dyDescent="0.3">
      <c r="A106" s="4" t="s">
        <v>21</v>
      </c>
      <c r="B106" s="4" t="s">
        <v>38</v>
      </c>
      <c r="C106" s="4" t="s">
        <v>39</v>
      </c>
      <c r="D106" s="4" t="s">
        <v>47</v>
      </c>
      <c r="E106" s="4" t="s">
        <v>48</v>
      </c>
      <c r="F106" s="4" t="s">
        <v>25</v>
      </c>
      <c r="G106" s="4" t="s">
        <v>25</v>
      </c>
      <c r="H106" s="4" t="s">
        <v>40</v>
      </c>
      <c r="I106" s="5">
        <v>44682</v>
      </c>
      <c r="J106" s="6">
        <v>0</v>
      </c>
      <c r="K106" s="6">
        <v>0</v>
      </c>
      <c r="L106" s="6">
        <v>20.672000000000001</v>
      </c>
      <c r="M106" s="6">
        <v>19.43168</v>
      </c>
      <c r="N106" s="6">
        <v>20.672000000000001</v>
      </c>
      <c r="O106" s="6">
        <v>19.43168</v>
      </c>
      <c r="P106" s="6">
        <v>0</v>
      </c>
      <c r="Q106" s="4" t="s">
        <v>26</v>
      </c>
      <c r="R106" s="4">
        <v>0</v>
      </c>
      <c r="S106" s="4" t="s">
        <v>121</v>
      </c>
      <c r="T106" s="4" t="s">
        <v>270</v>
      </c>
      <c r="U106" s="4">
        <v>0</v>
      </c>
      <c r="V106" s="4">
        <v>35</v>
      </c>
      <c r="W106" s="4">
        <v>79</v>
      </c>
    </row>
    <row r="107" spans="1:23" ht="11.25" customHeight="1" x14ac:dyDescent="0.3">
      <c r="A107" s="4" t="s">
        <v>21</v>
      </c>
      <c r="B107" s="4" t="s">
        <v>38</v>
      </c>
      <c r="C107" s="4" t="s">
        <v>39</v>
      </c>
      <c r="D107" s="4" t="s">
        <v>47</v>
      </c>
      <c r="E107" s="4" t="s">
        <v>48</v>
      </c>
      <c r="F107" s="4" t="s">
        <v>25</v>
      </c>
      <c r="G107" s="4" t="s">
        <v>25</v>
      </c>
      <c r="H107" s="4" t="s">
        <v>40</v>
      </c>
      <c r="I107" s="5">
        <v>44713</v>
      </c>
      <c r="J107" s="6">
        <v>0</v>
      </c>
      <c r="K107" s="6">
        <v>0</v>
      </c>
      <c r="L107" s="6">
        <v>20.959</v>
      </c>
      <c r="M107" s="6">
        <v>19.701460000000001</v>
      </c>
      <c r="N107" s="6">
        <v>20.959</v>
      </c>
      <c r="O107" s="6">
        <v>19.701460000000001</v>
      </c>
      <c r="P107" s="6">
        <v>0</v>
      </c>
      <c r="Q107" s="4" t="s">
        <v>26</v>
      </c>
      <c r="R107" s="4">
        <v>0</v>
      </c>
      <c r="S107" s="4" t="s">
        <v>122</v>
      </c>
      <c r="T107" s="4" t="s">
        <v>271</v>
      </c>
      <c r="U107" s="4">
        <v>0</v>
      </c>
      <c r="V107" s="4">
        <v>35</v>
      </c>
      <c r="W107" s="4">
        <v>79</v>
      </c>
    </row>
    <row r="108" spans="1:23" ht="11.25" customHeight="1" x14ac:dyDescent="0.3">
      <c r="A108" s="4" t="s">
        <v>21</v>
      </c>
      <c r="B108" s="4" t="s">
        <v>38</v>
      </c>
      <c r="C108" s="4" t="s">
        <v>39</v>
      </c>
      <c r="D108" s="4" t="s">
        <v>47</v>
      </c>
      <c r="E108" s="4" t="s">
        <v>48</v>
      </c>
      <c r="F108" s="4" t="s">
        <v>25</v>
      </c>
      <c r="G108" s="4" t="s">
        <v>25</v>
      </c>
      <c r="H108" s="4" t="s">
        <v>40</v>
      </c>
      <c r="I108" s="5">
        <v>44743</v>
      </c>
      <c r="J108" s="6">
        <v>0</v>
      </c>
      <c r="K108" s="6">
        <v>0</v>
      </c>
      <c r="L108" s="6">
        <v>20.106999999999999</v>
      </c>
      <c r="M108" s="6">
        <v>18.900580000000001</v>
      </c>
      <c r="N108" s="6">
        <v>20.106999999999999</v>
      </c>
      <c r="O108" s="6">
        <v>18.900580000000001</v>
      </c>
      <c r="P108" s="6">
        <v>0</v>
      </c>
      <c r="Q108" s="4" t="s">
        <v>26</v>
      </c>
      <c r="R108" s="4">
        <v>0</v>
      </c>
      <c r="S108" s="4" t="s">
        <v>123</v>
      </c>
      <c r="T108" s="4" t="s">
        <v>272</v>
      </c>
      <c r="U108" s="4">
        <v>0</v>
      </c>
      <c r="V108" s="4">
        <v>35</v>
      </c>
      <c r="W108" s="4">
        <v>79</v>
      </c>
    </row>
    <row r="109" spans="1:23" ht="11.25" customHeight="1" x14ac:dyDescent="0.3">
      <c r="A109" s="4" t="s">
        <v>21</v>
      </c>
      <c r="B109" s="4" t="s">
        <v>38</v>
      </c>
      <c r="C109" s="4" t="s">
        <v>39</v>
      </c>
      <c r="D109" s="4" t="s">
        <v>47</v>
      </c>
      <c r="E109" s="4" t="s">
        <v>48</v>
      </c>
      <c r="F109" s="4" t="s">
        <v>25</v>
      </c>
      <c r="G109" s="4" t="s">
        <v>25</v>
      </c>
      <c r="H109" s="4" t="s">
        <v>40</v>
      </c>
      <c r="I109" s="5">
        <v>44774</v>
      </c>
      <c r="J109" s="6">
        <v>0</v>
      </c>
      <c r="K109" s="6">
        <v>0</v>
      </c>
      <c r="L109" s="6">
        <v>21.699000000000002</v>
      </c>
      <c r="M109" s="6">
        <v>20.39706</v>
      </c>
      <c r="N109" s="6">
        <v>21.699000000000002</v>
      </c>
      <c r="O109" s="6">
        <v>20.39706</v>
      </c>
      <c r="P109" s="6">
        <v>0</v>
      </c>
      <c r="Q109" s="4" t="s">
        <v>26</v>
      </c>
      <c r="R109" s="4">
        <v>0</v>
      </c>
      <c r="S109" s="4" t="s">
        <v>124</v>
      </c>
      <c r="T109" s="4" t="s">
        <v>273</v>
      </c>
      <c r="U109" s="4">
        <v>0</v>
      </c>
      <c r="V109" s="4">
        <v>35</v>
      </c>
      <c r="W109" s="4">
        <v>79</v>
      </c>
    </row>
    <row r="110" spans="1:23" ht="11.25" customHeight="1" x14ac:dyDescent="0.3">
      <c r="A110" s="4" t="s">
        <v>21</v>
      </c>
      <c r="B110" s="4" t="s">
        <v>22</v>
      </c>
      <c r="C110" s="4" t="s">
        <v>33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34</v>
      </c>
      <c r="I110" s="5">
        <v>44440</v>
      </c>
      <c r="J110" s="6">
        <v>0</v>
      </c>
      <c r="K110" s="6">
        <v>0</v>
      </c>
      <c r="L110" s="6">
        <v>3.6999999999999998E-2</v>
      </c>
      <c r="M110" s="6">
        <v>3.6999999999999998E-2</v>
      </c>
      <c r="N110" s="6">
        <v>3.6999999999999998E-2</v>
      </c>
      <c r="O110" s="6">
        <v>3.6999999999999998E-2</v>
      </c>
      <c r="P110" s="6">
        <v>0</v>
      </c>
      <c r="Q110" s="4" t="s">
        <v>26</v>
      </c>
      <c r="R110" s="4">
        <v>0</v>
      </c>
      <c r="S110" s="4" t="s">
        <v>125</v>
      </c>
      <c r="T110" s="4" t="s">
        <v>274</v>
      </c>
      <c r="U110" s="4">
        <v>0</v>
      </c>
      <c r="V110" s="4">
        <v>15</v>
      </c>
      <c r="W110" s="4">
        <v>63</v>
      </c>
    </row>
    <row r="111" spans="1:23" ht="11.25" customHeight="1" x14ac:dyDescent="0.3">
      <c r="A111" s="4" t="s">
        <v>21</v>
      </c>
      <c r="B111" s="4" t="s">
        <v>22</v>
      </c>
      <c r="C111" s="4" t="s">
        <v>33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34</v>
      </c>
      <c r="I111" s="5">
        <v>44470</v>
      </c>
      <c r="J111" s="6">
        <v>0</v>
      </c>
      <c r="K111" s="6">
        <v>0</v>
      </c>
      <c r="L111" s="6">
        <v>3.5000000000000003E-2</v>
      </c>
      <c r="M111" s="6">
        <v>3.5000000000000003E-2</v>
      </c>
      <c r="N111" s="6">
        <v>3.5000000000000003E-2</v>
      </c>
      <c r="O111" s="6">
        <v>3.5000000000000003E-2</v>
      </c>
      <c r="P111" s="6">
        <v>0</v>
      </c>
      <c r="Q111" s="4" t="s">
        <v>26</v>
      </c>
      <c r="R111" s="4">
        <v>0</v>
      </c>
      <c r="S111" s="4" t="s">
        <v>126</v>
      </c>
      <c r="T111" s="4" t="s">
        <v>275</v>
      </c>
      <c r="U111" s="4">
        <v>0</v>
      </c>
      <c r="V111" s="4">
        <v>15</v>
      </c>
      <c r="W111" s="4">
        <v>63</v>
      </c>
    </row>
    <row r="112" spans="1:23" ht="11.25" customHeight="1" x14ac:dyDescent="0.3">
      <c r="A112" s="4" t="s">
        <v>21</v>
      </c>
      <c r="B112" s="4" t="s">
        <v>22</v>
      </c>
      <c r="C112" s="4" t="s">
        <v>33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34</v>
      </c>
      <c r="I112" s="5">
        <v>44501</v>
      </c>
      <c r="J112" s="6">
        <v>0</v>
      </c>
      <c r="K112" s="6">
        <v>0</v>
      </c>
      <c r="L112" s="6">
        <v>0.04</v>
      </c>
      <c r="M112" s="6">
        <v>0.04</v>
      </c>
      <c r="N112" s="6">
        <v>0.04</v>
      </c>
      <c r="O112" s="6">
        <v>0.04</v>
      </c>
      <c r="P112" s="6">
        <v>0</v>
      </c>
      <c r="Q112" s="4" t="s">
        <v>26</v>
      </c>
      <c r="R112" s="4">
        <v>0</v>
      </c>
      <c r="S112" s="4" t="s">
        <v>127</v>
      </c>
      <c r="T112" s="4" t="s">
        <v>276</v>
      </c>
      <c r="U112" s="4">
        <v>0</v>
      </c>
      <c r="V112" s="4">
        <v>15</v>
      </c>
      <c r="W112" s="4">
        <v>63</v>
      </c>
    </row>
    <row r="113" spans="1:23" ht="11.25" customHeight="1" x14ac:dyDescent="0.3">
      <c r="A113" s="4" t="s">
        <v>21</v>
      </c>
      <c r="B113" s="4" t="s">
        <v>22</v>
      </c>
      <c r="C113" s="4" t="s">
        <v>33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34</v>
      </c>
      <c r="I113" s="5">
        <v>44531</v>
      </c>
      <c r="J113" s="6">
        <v>0</v>
      </c>
      <c r="K113" s="6">
        <v>0</v>
      </c>
      <c r="L113" s="6">
        <v>0.06</v>
      </c>
      <c r="M113" s="6">
        <v>0.06</v>
      </c>
      <c r="N113" s="6">
        <v>0.06</v>
      </c>
      <c r="O113" s="6">
        <v>0.06</v>
      </c>
      <c r="P113" s="6">
        <v>0</v>
      </c>
      <c r="Q113" s="4" t="s">
        <v>26</v>
      </c>
      <c r="R113" s="4">
        <v>0</v>
      </c>
      <c r="S113" s="4" t="s">
        <v>128</v>
      </c>
      <c r="T113" s="4" t="s">
        <v>277</v>
      </c>
      <c r="U113" s="4">
        <v>0</v>
      </c>
      <c r="V113" s="4">
        <v>15</v>
      </c>
      <c r="W113" s="4">
        <v>63</v>
      </c>
    </row>
    <row r="114" spans="1:23" ht="11.25" customHeight="1" x14ac:dyDescent="0.3">
      <c r="A114" s="4" t="s">
        <v>21</v>
      </c>
      <c r="B114" s="4" t="s">
        <v>22</v>
      </c>
      <c r="C114" s="4" t="s">
        <v>33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34</v>
      </c>
      <c r="I114" s="5">
        <v>44562</v>
      </c>
      <c r="J114" s="6">
        <v>0</v>
      </c>
      <c r="K114" s="6">
        <v>0</v>
      </c>
      <c r="L114" s="6">
        <v>3.1E-2</v>
      </c>
      <c r="M114" s="6">
        <v>3.1E-2</v>
      </c>
      <c r="N114" s="6">
        <v>3.1E-2</v>
      </c>
      <c r="O114" s="6">
        <v>3.1E-2</v>
      </c>
      <c r="P114" s="6">
        <v>0</v>
      </c>
      <c r="Q114" s="4" t="s">
        <v>26</v>
      </c>
      <c r="R114" s="4">
        <v>0</v>
      </c>
      <c r="S114" s="4" t="s">
        <v>129</v>
      </c>
      <c r="T114" s="4" t="s">
        <v>278</v>
      </c>
      <c r="U114" s="4">
        <v>0</v>
      </c>
      <c r="V114" s="4">
        <v>15</v>
      </c>
      <c r="W114" s="4">
        <v>63</v>
      </c>
    </row>
    <row r="115" spans="1:23" ht="11.25" customHeight="1" x14ac:dyDescent="0.3">
      <c r="A115" s="4" t="s">
        <v>21</v>
      </c>
      <c r="B115" s="4" t="s">
        <v>22</v>
      </c>
      <c r="C115" s="4" t="s">
        <v>33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34</v>
      </c>
      <c r="I115" s="5">
        <v>44593</v>
      </c>
      <c r="J115" s="6">
        <v>0</v>
      </c>
      <c r="K115" s="6">
        <v>0</v>
      </c>
      <c r="L115" s="6">
        <v>3.7999999999999999E-2</v>
      </c>
      <c r="M115" s="6">
        <v>3.7999999999999999E-2</v>
      </c>
      <c r="N115" s="6">
        <v>3.7999999999999999E-2</v>
      </c>
      <c r="O115" s="6">
        <v>3.7999999999999999E-2</v>
      </c>
      <c r="P115" s="6">
        <v>0</v>
      </c>
      <c r="Q115" s="4" t="s">
        <v>26</v>
      </c>
      <c r="R115" s="4">
        <v>0</v>
      </c>
      <c r="S115" s="4" t="s">
        <v>130</v>
      </c>
      <c r="T115" s="4" t="s">
        <v>279</v>
      </c>
      <c r="U115" s="4">
        <v>0</v>
      </c>
      <c r="V115" s="4">
        <v>15</v>
      </c>
      <c r="W115" s="4">
        <v>63</v>
      </c>
    </row>
    <row r="116" spans="1:23" ht="11.25" customHeight="1" x14ac:dyDescent="0.3">
      <c r="A116" s="4" t="s">
        <v>21</v>
      </c>
      <c r="B116" s="4" t="s">
        <v>22</v>
      </c>
      <c r="C116" s="4" t="s">
        <v>33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34</v>
      </c>
      <c r="I116" s="5">
        <v>44621</v>
      </c>
      <c r="J116" s="6">
        <v>0</v>
      </c>
      <c r="K116" s="6">
        <v>0</v>
      </c>
      <c r="L116" s="6">
        <v>6.2E-2</v>
      </c>
      <c r="M116" s="6">
        <v>6.2E-2</v>
      </c>
      <c r="N116" s="6">
        <v>6.2E-2</v>
      </c>
      <c r="O116" s="6">
        <v>6.2E-2</v>
      </c>
      <c r="P116" s="6">
        <v>0</v>
      </c>
      <c r="Q116" s="4" t="s">
        <v>26</v>
      </c>
      <c r="R116" s="4">
        <v>0</v>
      </c>
      <c r="S116" s="4" t="s">
        <v>131</v>
      </c>
      <c r="T116" s="4" t="s">
        <v>280</v>
      </c>
      <c r="U116" s="4">
        <v>0</v>
      </c>
      <c r="V116" s="4">
        <v>15</v>
      </c>
      <c r="W116" s="4">
        <v>63</v>
      </c>
    </row>
    <row r="117" spans="1:23" ht="11.25" customHeight="1" x14ac:dyDescent="0.3">
      <c r="A117" s="4" t="s">
        <v>21</v>
      </c>
      <c r="B117" s="4" t="s">
        <v>22</v>
      </c>
      <c r="C117" s="4" t="s">
        <v>33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34</v>
      </c>
      <c r="I117" s="5">
        <v>44652</v>
      </c>
      <c r="J117" s="6">
        <v>0</v>
      </c>
      <c r="K117" s="6">
        <v>0</v>
      </c>
      <c r="L117" s="6">
        <v>4.1000000000000002E-2</v>
      </c>
      <c r="M117" s="6">
        <v>4.1000000000000002E-2</v>
      </c>
      <c r="N117" s="6">
        <v>4.1000000000000002E-2</v>
      </c>
      <c r="O117" s="6">
        <v>4.1000000000000002E-2</v>
      </c>
      <c r="P117" s="6">
        <v>0</v>
      </c>
      <c r="Q117" s="4" t="s">
        <v>26</v>
      </c>
      <c r="R117" s="4">
        <v>0</v>
      </c>
      <c r="S117" s="4" t="s">
        <v>132</v>
      </c>
      <c r="T117" s="4" t="s">
        <v>281</v>
      </c>
      <c r="U117" s="4">
        <v>0</v>
      </c>
      <c r="V117" s="4">
        <v>15</v>
      </c>
      <c r="W117" s="4">
        <v>63</v>
      </c>
    </row>
    <row r="118" spans="1:23" ht="11.25" customHeight="1" x14ac:dyDescent="0.3">
      <c r="A118" s="4" t="s">
        <v>21</v>
      </c>
      <c r="B118" s="4" t="s">
        <v>22</v>
      </c>
      <c r="C118" s="4" t="s">
        <v>33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34</v>
      </c>
      <c r="I118" s="5">
        <v>44682</v>
      </c>
      <c r="J118" s="6">
        <v>0</v>
      </c>
      <c r="K118" s="6">
        <v>0</v>
      </c>
      <c r="L118" s="6">
        <v>4.2000000000000003E-2</v>
      </c>
      <c r="M118" s="6">
        <v>4.2000000000000003E-2</v>
      </c>
      <c r="N118" s="6">
        <v>4.2000000000000003E-2</v>
      </c>
      <c r="O118" s="6">
        <v>4.2000000000000003E-2</v>
      </c>
      <c r="P118" s="6">
        <v>0</v>
      </c>
      <c r="Q118" s="4" t="s">
        <v>26</v>
      </c>
      <c r="R118" s="4">
        <v>0</v>
      </c>
      <c r="S118" s="4" t="s">
        <v>133</v>
      </c>
      <c r="T118" s="4" t="s">
        <v>282</v>
      </c>
      <c r="U118" s="4">
        <v>0</v>
      </c>
      <c r="V118" s="4">
        <v>15</v>
      </c>
      <c r="W118" s="4">
        <v>63</v>
      </c>
    </row>
    <row r="119" spans="1:23" ht="11.25" customHeight="1" x14ac:dyDescent="0.3">
      <c r="A119" s="4" t="s">
        <v>21</v>
      </c>
      <c r="B119" s="4" t="s">
        <v>22</v>
      </c>
      <c r="C119" s="4" t="s">
        <v>33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34</v>
      </c>
      <c r="I119" s="5">
        <v>44713</v>
      </c>
      <c r="J119" s="6">
        <v>0</v>
      </c>
      <c r="K119" s="6">
        <v>0</v>
      </c>
      <c r="L119" s="6">
        <v>4.2000000000000003E-2</v>
      </c>
      <c r="M119" s="6">
        <v>4.2000000000000003E-2</v>
      </c>
      <c r="N119" s="6">
        <v>4.2000000000000003E-2</v>
      </c>
      <c r="O119" s="6">
        <v>4.2000000000000003E-2</v>
      </c>
      <c r="P119" s="6">
        <v>0</v>
      </c>
      <c r="Q119" s="4" t="s">
        <v>26</v>
      </c>
      <c r="R119" s="4">
        <v>0</v>
      </c>
      <c r="S119" s="4" t="s">
        <v>134</v>
      </c>
      <c r="T119" s="4" t="s">
        <v>283</v>
      </c>
      <c r="U119" s="4">
        <v>0</v>
      </c>
      <c r="V119" s="4">
        <v>15</v>
      </c>
      <c r="W119" s="4">
        <v>63</v>
      </c>
    </row>
    <row r="120" spans="1:23" ht="11.25" customHeight="1" x14ac:dyDescent="0.3">
      <c r="A120" s="4" t="s">
        <v>21</v>
      </c>
      <c r="B120" s="4" t="s">
        <v>22</v>
      </c>
      <c r="C120" s="4" t="s">
        <v>33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34</v>
      </c>
      <c r="I120" s="5">
        <v>44743</v>
      </c>
      <c r="J120" s="6">
        <v>0</v>
      </c>
      <c r="K120" s="6">
        <v>0</v>
      </c>
      <c r="L120" s="6">
        <v>4.1000000000000002E-2</v>
      </c>
      <c r="M120" s="6">
        <v>4.1000000000000002E-2</v>
      </c>
      <c r="N120" s="6">
        <v>4.1000000000000002E-2</v>
      </c>
      <c r="O120" s="6">
        <v>4.1000000000000002E-2</v>
      </c>
      <c r="P120" s="6">
        <v>0</v>
      </c>
      <c r="Q120" s="4" t="s">
        <v>26</v>
      </c>
      <c r="R120" s="4">
        <v>0</v>
      </c>
      <c r="S120" s="4" t="s">
        <v>135</v>
      </c>
      <c r="T120" s="4" t="s">
        <v>284</v>
      </c>
      <c r="U120" s="4">
        <v>0</v>
      </c>
      <c r="V120" s="4">
        <v>15</v>
      </c>
      <c r="W120" s="4">
        <v>63</v>
      </c>
    </row>
    <row r="121" spans="1:23" ht="11.25" customHeight="1" x14ac:dyDescent="0.3">
      <c r="A121" s="4" t="s">
        <v>21</v>
      </c>
      <c r="B121" s="4" t="s">
        <v>22</v>
      </c>
      <c r="C121" s="4" t="s">
        <v>33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34</v>
      </c>
      <c r="I121" s="5">
        <v>44774</v>
      </c>
      <c r="J121" s="6">
        <v>0</v>
      </c>
      <c r="K121" s="6">
        <v>0</v>
      </c>
      <c r="L121" s="6">
        <v>4.2000000000000003E-2</v>
      </c>
      <c r="M121" s="6">
        <v>4.2000000000000003E-2</v>
      </c>
      <c r="N121" s="6">
        <v>4.2000000000000003E-2</v>
      </c>
      <c r="O121" s="6">
        <v>4.2000000000000003E-2</v>
      </c>
      <c r="P121" s="6">
        <v>0</v>
      </c>
      <c r="Q121" s="4" t="s">
        <v>26</v>
      </c>
      <c r="R121" s="4">
        <v>0</v>
      </c>
      <c r="S121" s="4" t="s">
        <v>136</v>
      </c>
      <c r="T121" s="4" t="s">
        <v>285</v>
      </c>
      <c r="U121" s="4">
        <v>0</v>
      </c>
      <c r="V121" s="4">
        <v>15</v>
      </c>
      <c r="W121" s="4">
        <v>63</v>
      </c>
    </row>
    <row r="122" spans="1:23" ht="11.25" customHeight="1" x14ac:dyDescent="0.3">
      <c r="A122" s="4" t="s">
        <v>21</v>
      </c>
      <c r="B122" s="4" t="s">
        <v>22</v>
      </c>
      <c r="C122" s="4" t="s">
        <v>33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35</v>
      </c>
      <c r="I122" s="5">
        <v>44440</v>
      </c>
      <c r="J122" s="6">
        <v>0</v>
      </c>
      <c r="K122" s="6">
        <v>0</v>
      </c>
      <c r="L122" s="6">
        <v>1.7999999999999999E-2</v>
      </c>
      <c r="M122" s="6">
        <v>1.7999999999999999E-2</v>
      </c>
      <c r="N122" s="6">
        <v>1.7999999999999999E-2</v>
      </c>
      <c r="O122" s="6">
        <v>1.7999999999999999E-2</v>
      </c>
      <c r="P122" s="6">
        <v>0</v>
      </c>
      <c r="Q122" s="4" t="s">
        <v>26</v>
      </c>
      <c r="R122" s="4">
        <v>0</v>
      </c>
      <c r="S122" s="4" t="s">
        <v>137</v>
      </c>
      <c r="T122" s="4" t="s">
        <v>286</v>
      </c>
      <c r="U122" s="4">
        <v>0</v>
      </c>
      <c r="V122" s="4">
        <v>23</v>
      </c>
      <c r="W122" s="4">
        <v>70</v>
      </c>
    </row>
    <row r="123" spans="1:23" ht="11.25" customHeight="1" x14ac:dyDescent="0.3">
      <c r="A123" s="4" t="s">
        <v>21</v>
      </c>
      <c r="B123" s="4" t="s">
        <v>22</v>
      </c>
      <c r="C123" s="4" t="s">
        <v>33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35</v>
      </c>
      <c r="I123" s="5">
        <v>44470</v>
      </c>
      <c r="J123" s="6">
        <v>0</v>
      </c>
      <c r="K123" s="6">
        <v>0</v>
      </c>
      <c r="L123" s="6">
        <v>1.9E-2</v>
      </c>
      <c r="M123" s="6">
        <v>1.9E-2</v>
      </c>
      <c r="N123" s="6">
        <v>1.9E-2</v>
      </c>
      <c r="O123" s="6">
        <v>1.9E-2</v>
      </c>
      <c r="P123" s="6">
        <v>0</v>
      </c>
      <c r="Q123" s="4" t="s">
        <v>26</v>
      </c>
      <c r="R123" s="4">
        <v>0</v>
      </c>
      <c r="S123" s="4" t="s">
        <v>138</v>
      </c>
      <c r="T123" s="4" t="s">
        <v>287</v>
      </c>
      <c r="U123" s="4">
        <v>0</v>
      </c>
      <c r="V123" s="4">
        <v>23</v>
      </c>
      <c r="W123" s="4">
        <v>70</v>
      </c>
    </row>
    <row r="124" spans="1:23" ht="11.25" customHeight="1" x14ac:dyDescent="0.3">
      <c r="A124" s="4" t="s">
        <v>21</v>
      </c>
      <c r="B124" s="4" t="s">
        <v>22</v>
      </c>
      <c r="C124" s="4" t="s">
        <v>33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35</v>
      </c>
      <c r="I124" s="5">
        <v>44501</v>
      </c>
      <c r="J124" s="6">
        <v>0</v>
      </c>
      <c r="K124" s="6">
        <v>0</v>
      </c>
      <c r="L124" s="6">
        <v>1.2999999999999999E-2</v>
      </c>
      <c r="M124" s="6">
        <v>1.2999999999999999E-2</v>
      </c>
      <c r="N124" s="6">
        <v>1.2999999999999999E-2</v>
      </c>
      <c r="O124" s="6">
        <v>1.2999999999999999E-2</v>
      </c>
      <c r="P124" s="6">
        <v>0</v>
      </c>
      <c r="Q124" s="4" t="s">
        <v>26</v>
      </c>
      <c r="R124" s="4">
        <v>0</v>
      </c>
      <c r="S124" s="4" t="s">
        <v>139</v>
      </c>
      <c r="T124" s="4" t="s">
        <v>288</v>
      </c>
      <c r="U124" s="4">
        <v>0</v>
      </c>
      <c r="V124" s="4">
        <v>23</v>
      </c>
      <c r="W124" s="4">
        <v>70</v>
      </c>
    </row>
    <row r="125" spans="1:23" ht="11.25" customHeight="1" x14ac:dyDescent="0.3">
      <c r="A125" s="4" t="s">
        <v>21</v>
      </c>
      <c r="B125" s="4" t="s">
        <v>22</v>
      </c>
      <c r="C125" s="4" t="s">
        <v>33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35</v>
      </c>
      <c r="I125" s="5">
        <v>44531</v>
      </c>
      <c r="J125" s="6">
        <v>0</v>
      </c>
      <c r="K125" s="6">
        <v>0</v>
      </c>
      <c r="L125" s="6">
        <v>7.0000000000000001E-3</v>
      </c>
      <c r="M125" s="6">
        <v>7.0000000000000001E-3</v>
      </c>
      <c r="N125" s="6">
        <v>7.0000000000000001E-3</v>
      </c>
      <c r="O125" s="6">
        <v>7.0000000000000001E-3</v>
      </c>
      <c r="P125" s="6">
        <v>0</v>
      </c>
      <c r="Q125" s="4" t="s">
        <v>26</v>
      </c>
      <c r="R125" s="4">
        <v>0</v>
      </c>
      <c r="S125" s="4" t="s">
        <v>140</v>
      </c>
      <c r="T125" s="4" t="s">
        <v>289</v>
      </c>
      <c r="U125" s="4">
        <v>0</v>
      </c>
      <c r="V125" s="4">
        <v>23</v>
      </c>
      <c r="W125" s="4">
        <v>70</v>
      </c>
    </row>
    <row r="126" spans="1:23" ht="11.25" customHeight="1" x14ac:dyDescent="0.3">
      <c r="A126" s="4" t="s">
        <v>21</v>
      </c>
      <c r="B126" s="4" t="s">
        <v>22</v>
      </c>
      <c r="C126" s="4" t="s">
        <v>33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35</v>
      </c>
      <c r="I126" s="5">
        <v>44562</v>
      </c>
      <c r="J126" s="6">
        <v>0</v>
      </c>
      <c r="K126" s="6">
        <v>0</v>
      </c>
      <c r="L126" s="6">
        <v>0.03</v>
      </c>
      <c r="M126" s="6">
        <v>0.03</v>
      </c>
      <c r="N126" s="6">
        <v>0.03</v>
      </c>
      <c r="O126" s="6">
        <v>0.03</v>
      </c>
      <c r="P126" s="6">
        <v>0</v>
      </c>
      <c r="Q126" s="4" t="s">
        <v>26</v>
      </c>
      <c r="R126" s="4">
        <v>0</v>
      </c>
      <c r="S126" s="4" t="s">
        <v>141</v>
      </c>
      <c r="T126" s="4" t="s">
        <v>290</v>
      </c>
      <c r="U126" s="4">
        <v>0</v>
      </c>
      <c r="V126" s="4">
        <v>23</v>
      </c>
      <c r="W126" s="4">
        <v>70</v>
      </c>
    </row>
    <row r="127" spans="1:23" ht="11.25" customHeight="1" x14ac:dyDescent="0.3">
      <c r="A127" s="4" t="s">
        <v>21</v>
      </c>
      <c r="B127" s="4" t="s">
        <v>22</v>
      </c>
      <c r="C127" s="4" t="s">
        <v>33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35</v>
      </c>
      <c r="I127" s="5">
        <v>44593</v>
      </c>
      <c r="J127" s="6">
        <v>0</v>
      </c>
      <c r="K127" s="6">
        <v>0</v>
      </c>
      <c r="L127" s="6">
        <v>1.2E-2</v>
      </c>
      <c r="M127" s="6">
        <v>1.2E-2</v>
      </c>
      <c r="N127" s="6">
        <v>1.2E-2</v>
      </c>
      <c r="O127" s="6">
        <v>1.2E-2</v>
      </c>
      <c r="P127" s="6">
        <v>0</v>
      </c>
      <c r="Q127" s="4" t="s">
        <v>26</v>
      </c>
      <c r="R127" s="4">
        <v>0</v>
      </c>
      <c r="S127" s="4" t="s">
        <v>142</v>
      </c>
      <c r="T127" s="4" t="s">
        <v>291</v>
      </c>
      <c r="U127" s="4">
        <v>0</v>
      </c>
      <c r="V127" s="4">
        <v>23</v>
      </c>
      <c r="W127" s="4">
        <v>70</v>
      </c>
    </row>
    <row r="128" spans="1:23" ht="11.25" customHeight="1" x14ac:dyDescent="0.3">
      <c r="A128" s="4" t="s">
        <v>21</v>
      </c>
      <c r="B128" s="4" t="s">
        <v>22</v>
      </c>
      <c r="C128" s="4" t="s">
        <v>33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35</v>
      </c>
      <c r="I128" s="5">
        <v>44621</v>
      </c>
      <c r="J128" s="6">
        <v>0</v>
      </c>
      <c r="K128" s="6">
        <v>0</v>
      </c>
      <c r="L128" s="6">
        <v>2.8000000000000001E-2</v>
      </c>
      <c r="M128" s="6">
        <v>2.8000000000000001E-2</v>
      </c>
      <c r="N128" s="6">
        <v>2.8000000000000001E-2</v>
      </c>
      <c r="O128" s="6">
        <v>2.8000000000000001E-2</v>
      </c>
      <c r="P128" s="6">
        <v>0</v>
      </c>
      <c r="Q128" s="4" t="s">
        <v>26</v>
      </c>
      <c r="R128" s="4">
        <v>0</v>
      </c>
      <c r="S128" s="4" t="s">
        <v>143</v>
      </c>
      <c r="T128" s="4" t="s">
        <v>292</v>
      </c>
      <c r="U128" s="4">
        <v>0</v>
      </c>
      <c r="V128" s="4">
        <v>23</v>
      </c>
      <c r="W128" s="4">
        <v>70</v>
      </c>
    </row>
    <row r="129" spans="1:23" ht="11.25" customHeight="1" x14ac:dyDescent="0.3">
      <c r="A129" s="4" t="s">
        <v>21</v>
      </c>
      <c r="B129" s="4" t="s">
        <v>22</v>
      </c>
      <c r="C129" s="4" t="s">
        <v>33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35</v>
      </c>
      <c r="I129" s="5">
        <v>44652</v>
      </c>
      <c r="J129" s="6">
        <v>0</v>
      </c>
      <c r="K129" s="6">
        <v>0</v>
      </c>
      <c r="L129" s="6">
        <v>1.9E-2</v>
      </c>
      <c r="M129" s="6">
        <v>1.9E-2</v>
      </c>
      <c r="N129" s="6">
        <v>1.9E-2</v>
      </c>
      <c r="O129" s="6">
        <v>1.9E-2</v>
      </c>
      <c r="P129" s="6">
        <v>0</v>
      </c>
      <c r="Q129" s="4" t="s">
        <v>26</v>
      </c>
      <c r="R129" s="4">
        <v>0</v>
      </c>
      <c r="S129" s="4" t="s">
        <v>144</v>
      </c>
      <c r="T129" s="4" t="s">
        <v>293</v>
      </c>
      <c r="U129" s="4">
        <v>0</v>
      </c>
      <c r="V129" s="4">
        <v>23</v>
      </c>
      <c r="W129" s="4">
        <v>70</v>
      </c>
    </row>
    <row r="130" spans="1:23" ht="11.25" customHeight="1" x14ac:dyDescent="0.3">
      <c r="A130" s="4" t="s">
        <v>21</v>
      </c>
      <c r="B130" s="4" t="s">
        <v>22</v>
      </c>
      <c r="C130" s="4" t="s">
        <v>33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35</v>
      </c>
      <c r="I130" s="5">
        <v>44682</v>
      </c>
      <c r="J130" s="6">
        <v>0</v>
      </c>
      <c r="K130" s="6">
        <v>0</v>
      </c>
      <c r="L130" s="6">
        <v>1.2E-2</v>
      </c>
      <c r="M130" s="6">
        <v>1.2E-2</v>
      </c>
      <c r="N130" s="6">
        <v>1.2E-2</v>
      </c>
      <c r="O130" s="6">
        <v>1.2E-2</v>
      </c>
      <c r="P130" s="6">
        <v>0</v>
      </c>
      <c r="Q130" s="4" t="s">
        <v>26</v>
      </c>
      <c r="R130" s="4">
        <v>0</v>
      </c>
      <c r="S130" s="4" t="s">
        <v>145</v>
      </c>
      <c r="T130" s="4" t="s">
        <v>294</v>
      </c>
      <c r="U130" s="4">
        <v>0</v>
      </c>
      <c r="V130" s="4">
        <v>23</v>
      </c>
      <c r="W130" s="4">
        <v>70</v>
      </c>
    </row>
    <row r="131" spans="1:23" ht="11.25" customHeight="1" x14ac:dyDescent="0.3">
      <c r="A131" s="4" t="s">
        <v>21</v>
      </c>
      <c r="B131" s="4" t="s">
        <v>22</v>
      </c>
      <c r="C131" s="4" t="s">
        <v>33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35</v>
      </c>
      <c r="I131" s="5">
        <v>44713</v>
      </c>
      <c r="J131" s="6">
        <v>0</v>
      </c>
      <c r="K131" s="6">
        <v>0</v>
      </c>
      <c r="L131" s="6">
        <v>1.2E-2</v>
      </c>
      <c r="M131" s="6">
        <v>1.2E-2</v>
      </c>
      <c r="N131" s="6">
        <v>1.2E-2</v>
      </c>
      <c r="O131" s="6">
        <v>1.2E-2</v>
      </c>
      <c r="P131" s="6">
        <v>0</v>
      </c>
      <c r="Q131" s="4" t="s">
        <v>26</v>
      </c>
      <c r="R131" s="4">
        <v>0</v>
      </c>
      <c r="S131" s="4" t="s">
        <v>146</v>
      </c>
      <c r="T131" s="4" t="s">
        <v>295</v>
      </c>
      <c r="U131" s="4">
        <v>0</v>
      </c>
      <c r="V131" s="4">
        <v>23</v>
      </c>
      <c r="W131" s="4">
        <v>70</v>
      </c>
    </row>
    <row r="132" spans="1:23" ht="11.25" customHeight="1" x14ac:dyDescent="0.3">
      <c r="A132" s="4" t="s">
        <v>21</v>
      </c>
      <c r="B132" s="4" t="s">
        <v>22</v>
      </c>
      <c r="C132" s="4" t="s">
        <v>33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35</v>
      </c>
      <c r="I132" s="5">
        <v>44743</v>
      </c>
      <c r="J132" s="6">
        <v>0</v>
      </c>
      <c r="K132" s="6">
        <v>0</v>
      </c>
      <c r="L132" s="6">
        <v>1.2999999999999999E-2</v>
      </c>
      <c r="M132" s="6">
        <v>1.2999999999999999E-2</v>
      </c>
      <c r="N132" s="6">
        <v>1.2999999999999999E-2</v>
      </c>
      <c r="O132" s="6">
        <v>1.2999999999999999E-2</v>
      </c>
      <c r="P132" s="6">
        <v>0</v>
      </c>
      <c r="Q132" s="4" t="s">
        <v>26</v>
      </c>
      <c r="R132" s="4">
        <v>0</v>
      </c>
      <c r="S132" s="4" t="s">
        <v>147</v>
      </c>
      <c r="T132" s="4" t="s">
        <v>296</v>
      </c>
      <c r="U132" s="4">
        <v>0</v>
      </c>
      <c r="V132" s="4">
        <v>23</v>
      </c>
      <c r="W132" s="4">
        <v>70</v>
      </c>
    </row>
    <row r="133" spans="1:23" ht="11.25" customHeight="1" x14ac:dyDescent="0.3">
      <c r="A133" s="4" t="s">
        <v>21</v>
      </c>
      <c r="B133" s="4" t="s">
        <v>22</v>
      </c>
      <c r="C133" s="4" t="s">
        <v>33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35</v>
      </c>
      <c r="I133" s="5">
        <v>44774</v>
      </c>
      <c r="J133" s="6">
        <v>0</v>
      </c>
      <c r="K133" s="6">
        <v>0</v>
      </c>
      <c r="L133" s="6">
        <v>1.2E-2</v>
      </c>
      <c r="M133" s="6">
        <v>1.2E-2</v>
      </c>
      <c r="N133" s="6">
        <v>1.2E-2</v>
      </c>
      <c r="O133" s="6">
        <v>1.2E-2</v>
      </c>
      <c r="P133" s="6">
        <v>0</v>
      </c>
      <c r="Q133" s="4" t="s">
        <v>26</v>
      </c>
      <c r="R133" s="4">
        <v>0</v>
      </c>
      <c r="S133" s="4" t="s">
        <v>148</v>
      </c>
      <c r="T133" s="4" t="s">
        <v>297</v>
      </c>
      <c r="U133" s="4">
        <v>0</v>
      </c>
      <c r="V133" s="4">
        <v>23</v>
      </c>
      <c r="W133" s="4">
        <v>70</v>
      </c>
    </row>
    <row r="134" spans="1:2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44440</v>
      </c>
      <c r="J134" s="6">
        <v>0</v>
      </c>
      <c r="K134" s="6">
        <v>0</v>
      </c>
      <c r="L134" s="6">
        <v>423.71499999999997</v>
      </c>
      <c r="M134" s="6">
        <v>423.71499999999997</v>
      </c>
      <c r="N134" s="6">
        <v>423.71499999999997</v>
      </c>
      <c r="O134" s="6">
        <v>423.71499999999997</v>
      </c>
      <c r="P134" s="6">
        <v>3253</v>
      </c>
      <c r="Q134" s="4" t="s">
        <v>26</v>
      </c>
      <c r="R134" s="4">
        <v>0</v>
      </c>
      <c r="S134" s="4" t="s">
        <v>149</v>
      </c>
      <c r="T134" s="4" t="s">
        <v>298</v>
      </c>
      <c r="U134" s="4">
        <v>0</v>
      </c>
      <c r="V134" s="4">
        <v>26</v>
      </c>
      <c r="W134" s="4">
        <v>57</v>
      </c>
    </row>
    <row r="135" spans="1:23" ht="11.25" customHeight="1" x14ac:dyDescent="0.3">
      <c r="A135" s="4" t="s">
        <v>27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-0.79100000000000004</v>
      </c>
      <c r="M135" s="6">
        <v>-0.79100000000000004</v>
      </c>
      <c r="N135" s="6">
        <v>-0.79100000000000004</v>
      </c>
      <c r="O135" s="6">
        <v>-0.79100000000000004</v>
      </c>
      <c r="P135" s="6">
        <v>0</v>
      </c>
      <c r="Q135" s="4" t="s">
        <v>26</v>
      </c>
      <c r="R135" s="4">
        <v>0</v>
      </c>
      <c r="S135" s="4" t="s">
        <v>149</v>
      </c>
      <c r="T135" s="4" t="s">
        <v>298</v>
      </c>
      <c r="U135" s="4">
        <v>0</v>
      </c>
      <c r="V135" s="4">
        <v>26</v>
      </c>
      <c r="W135" s="4">
        <v>57</v>
      </c>
    </row>
    <row r="136" spans="1:23" ht="11.25" customHeight="1" x14ac:dyDescent="0.3">
      <c r="A136" s="4" t="s">
        <v>28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44440</v>
      </c>
      <c r="J136" s="6">
        <v>0</v>
      </c>
      <c r="K136" s="6">
        <v>0</v>
      </c>
      <c r="L136" s="6">
        <v>2.7389999999999999</v>
      </c>
      <c r="M136" s="6">
        <v>2.7389999999999999</v>
      </c>
      <c r="N136" s="6">
        <v>2.7389999999999999</v>
      </c>
      <c r="O136" s="6">
        <v>2.7389999999999999</v>
      </c>
      <c r="P136" s="6">
        <v>25</v>
      </c>
      <c r="Q136" s="4" t="s">
        <v>26</v>
      </c>
      <c r="R136" s="4">
        <v>0</v>
      </c>
      <c r="S136" s="4" t="s">
        <v>149</v>
      </c>
      <c r="T136" s="4" t="s">
        <v>298</v>
      </c>
      <c r="U136" s="4">
        <v>0</v>
      </c>
      <c r="V136" s="4">
        <v>26</v>
      </c>
      <c r="W136" s="4">
        <v>57</v>
      </c>
    </row>
    <row r="137" spans="1:2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44470</v>
      </c>
      <c r="J137" s="6">
        <v>0</v>
      </c>
      <c r="K137" s="6">
        <v>0</v>
      </c>
      <c r="L137" s="6">
        <v>406.84899999999999</v>
      </c>
      <c r="M137" s="6">
        <v>406.84899999999999</v>
      </c>
      <c r="N137" s="6">
        <v>406.84899999999999</v>
      </c>
      <c r="O137" s="6">
        <v>406.84899999999999</v>
      </c>
      <c r="P137" s="6">
        <v>3261</v>
      </c>
      <c r="Q137" s="4" t="s">
        <v>26</v>
      </c>
      <c r="R137" s="4">
        <v>0</v>
      </c>
      <c r="S137" s="4" t="s">
        <v>150</v>
      </c>
      <c r="T137" s="4" t="s">
        <v>299</v>
      </c>
      <c r="U137" s="4">
        <v>0</v>
      </c>
      <c r="V137" s="4">
        <v>26</v>
      </c>
      <c r="W137" s="4">
        <v>57</v>
      </c>
    </row>
    <row r="138" spans="1:23" ht="11.25" customHeight="1" x14ac:dyDescent="0.3">
      <c r="A138" s="4" t="s">
        <v>27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44470</v>
      </c>
      <c r="J138" s="6">
        <v>0</v>
      </c>
      <c r="K138" s="6">
        <v>0</v>
      </c>
      <c r="L138" s="6">
        <v>-0.111</v>
      </c>
      <c r="M138" s="6">
        <v>-0.111</v>
      </c>
      <c r="N138" s="6">
        <v>-0.111</v>
      </c>
      <c r="O138" s="6">
        <v>-0.111</v>
      </c>
      <c r="P138" s="6">
        <v>0</v>
      </c>
      <c r="Q138" s="4" t="s">
        <v>26</v>
      </c>
      <c r="R138" s="4">
        <v>0</v>
      </c>
      <c r="S138" s="4" t="s">
        <v>150</v>
      </c>
      <c r="T138" s="4" t="s">
        <v>299</v>
      </c>
      <c r="U138" s="4">
        <v>0</v>
      </c>
      <c r="V138" s="4">
        <v>26</v>
      </c>
      <c r="W138" s="4">
        <v>57</v>
      </c>
    </row>
    <row r="139" spans="1:23" ht="11.25" customHeight="1" x14ac:dyDescent="0.3">
      <c r="A139" s="4" t="s">
        <v>28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44470</v>
      </c>
      <c r="J139" s="6">
        <v>0</v>
      </c>
      <c r="K139" s="6">
        <v>0</v>
      </c>
      <c r="L139" s="6">
        <v>3.2170000000000001</v>
      </c>
      <c r="M139" s="6">
        <v>3.2170000000000001</v>
      </c>
      <c r="N139" s="6">
        <v>3.2170000000000001</v>
      </c>
      <c r="O139" s="6">
        <v>3.2170000000000001</v>
      </c>
      <c r="P139" s="6">
        <v>26</v>
      </c>
      <c r="Q139" s="4" t="s">
        <v>26</v>
      </c>
      <c r="R139" s="4">
        <v>0</v>
      </c>
      <c r="S139" s="4" t="s">
        <v>150</v>
      </c>
      <c r="T139" s="4" t="s">
        <v>299</v>
      </c>
      <c r="U139" s="4">
        <v>0</v>
      </c>
      <c r="V139" s="4">
        <v>26</v>
      </c>
      <c r="W139" s="4">
        <v>57</v>
      </c>
    </row>
    <row r="140" spans="1:23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44501</v>
      </c>
      <c r="J140" s="6">
        <v>0</v>
      </c>
      <c r="K140" s="6">
        <v>0</v>
      </c>
      <c r="L140" s="6">
        <v>430.00400000000002</v>
      </c>
      <c r="M140" s="6">
        <v>430.00400000000002</v>
      </c>
      <c r="N140" s="6">
        <v>430.00400000000002</v>
      </c>
      <c r="O140" s="6">
        <v>430.00400000000002</v>
      </c>
      <c r="P140" s="6">
        <v>3283</v>
      </c>
      <c r="Q140" s="4" t="s">
        <v>26</v>
      </c>
      <c r="R140" s="4">
        <v>0</v>
      </c>
      <c r="S140" s="4" t="s">
        <v>151</v>
      </c>
      <c r="T140" s="4" t="s">
        <v>300</v>
      </c>
      <c r="U140" s="4">
        <v>0</v>
      </c>
      <c r="V140" s="4">
        <v>26</v>
      </c>
      <c r="W140" s="4">
        <v>57</v>
      </c>
    </row>
    <row r="141" spans="1:23" ht="11.25" customHeight="1" x14ac:dyDescent="0.3">
      <c r="A141" s="4" t="s">
        <v>27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44501</v>
      </c>
      <c r="J141" s="6">
        <v>0</v>
      </c>
      <c r="K141" s="6">
        <v>0</v>
      </c>
      <c r="L141" s="6">
        <v>-1.139</v>
      </c>
      <c r="M141" s="6">
        <v>-1.139</v>
      </c>
      <c r="N141" s="6">
        <v>-1.139</v>
      </c>
      <c r="O141" s="6">
        <v>-1.139</v>
      </c>
      <c r="P141" s="6">
        <v>0</v>
      </c>
      <c r="Q141" s="4" t="s">
        <v>26</v>
      </c>
      <c r="R141" s="4">
        <v>0</v>
      </c>
      <c r="S141" s="4" t="s">
        <v>151</v>
      </c>
      <c r="T141" s="4" t="s">
        <v>300</v>
      </c>
      <c r="U141" s="4">
        <v>0</v>
      </c>
      <c r="V141" s="4">
        <v>26</v>
      </c>
      <c r="W141" s="4">
        <v>57</v>
      </c>
    </row>
    <row r="142" spans="1:23" ht="11.25" customHeight="1" x14ac:dyDescent="0.3">
      <c r="A142" s="4" t="s">
        <v>28</v>
      </c>
      <c r="B142" s="4" t="s">
        <v>22</v>
      </c>
      <c r="C142" s="4" t="s">
        <v>23</v>
      </c>
      <c r="D142" s="4" t="s">
        <v>24</v>
      </c>
      <c r="E142" s="4" t="s">
        <v>24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2.8260000000000001</v>
      </c>
      <c r="M142" s="6">
        <v>2.8260000000000001</v>
      </c>
      <c r="N142" s="6">
        <v>2.8260000000000001</v>
      </c>
      <c r="O142" s="6">
        <v>2.8260000000000001</v>
      </c>
      <c r="P142" s="6">
        <v>27</v>
      </c>
      <c r="Q142" s="4" t="s">
        <v>26</v>
      </c>
      <c r="R142" s="4">
        <v>0</v>
      </c>
      <c r="S142" s="4" t="s">
        <v>151</v>
      </c>
      <c r="T142" s="4" t="s">
        <v>300</v>
      </c>
      <c r="U142" s="4">
        <v>0</v>
      </c>
      <c r="V142" s="4">
        <v>26</v>
      </c>
      <c r="W142" s="4">
        <v>57</v>
      </c>
    </row>
    <row r="143" spans="1:2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24</v>
      </c>
      <c r="F143" s="4" t="s">
        <v>25</v>
      </c>
      <c r="G143" s="4" t="s">
        <v>25</v>
      </c>
      <c r="H143" s="4" t="s">
        <v>25</v>
      </c>
      <c r="I143" s="5">
        <v>44531</v>
      </c>
      <c r="J143" s="6">
        <v>0</v>
      </c>
      <c r="K143" s="6">
        <v>0</v>
      </c>
      <c r="L143" s="6">
        <v>442.464</v>
      </c>
      <c r="M143" s="6">
        <v>442.464</v>
      </c>
      <c r="N143" s="6">
        <v>442.464</v>
      </c>
      <c r="O143" s="6">
        <v>442.464</v>
      </c>
      <c r="P143" s="6">
        <v>3261</v>
      </c>
      <c r="Q143" s="4" t="s">
        <v>26</v>
      </c>
      <c r="R143" s="4">
        <v>0</v>
      </c>
      <c r="S143" s="4" t="s">
        <v>152</v>
      </c>
      <c r="T143" s="4" t="s">
        <v>301</v>
      </c>
      <c r="U143" s="4">
        <v>0</v>
      </c>
      <c r="V143" s="4">
        <v>26</v>
      </c>
      <c r="W143" s="4">
        <v>57</v>
      </c>
    </row>
    <row r="144" spans="1:23" ht="11.25" customHeight="1" x14ac:dyDescent="0.3">
      <c r="A144" s="4" t="s">
        <v>27</v>
      </c>
      <c r="B144" s="4" t="s">
        <v>22</v>
      </c>
      <c r="C144" s="4" t="s">
        <v>23</v>
      </c>
      <c r="D144" s="4" t="s">
        <v>24</v>
      </c>
      <c r="E144" s="4" t="s">
        <v>24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1.28</v>
      </c>
      <c r="M144" s="6">
        <v>1.28</v>
      </c>
      <c r="N144" s="6">
        <v>1.28</v>
      </c>
      <c r="O144" s="6">
        <v>1.28</v>
      </c>
      <c r="P144" s="6">
        <v>0</v>
      </c>
      <c r="Q144" s="4" t="s">
        <v>26</v>
      </c>
      <c r="R144" s="4">
        <v>0</v>
      </c>
      <c r="S144" s="4" t="s">
        <v>152</v>
      </c>
      <c r="T144" s="4" t="s">
        <v>301</v>
      </c>
      <c r="U144" s="4">
        <v>0</v>
      </c>
      <c r="V144" s="4">
        <v>26</v>
      </c>
      <c r="W144" s="4">
        <v>57</v>
      </c>
    </row>
    <row r="145" spans="1:23" ht="11.25" customHeight="1" x14ac:dyDescent="0.3">
      <c r="A145" s="4" t="s">
        <v>28</v>
      </c>
      <c r="B145" s="4" t="s">
        <v>22</v>
      </c>
      <c r="C145" s="4" t="s">
        <v>23</v>
      </c>
      <c r="D145" s="4" t="s">
        <v>24</v>
      </c>
      <c r="E145" s="4" t="s">
        <v>24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2.3849999999999998</v>
      </c>
      <c r="M145" s="6">
        <v>2.3849999999999998</v>
      </c>
      <c r="N145" s="6">
        <v>2.3849999999999998</v>
      </c>
      <c r="O145" s="6">
        <v>2.3849999999999998</v>
      </c>
      <c r="P145" s="6">
        <v>29</v>
      </c>
      <c r="Q145" s="4" t="s">
        <v>26</v>
      </c>
      <c r="R145" s="4">
        <v>0</v>
      </c>
      <c r="S145" s="4" t="s">
        <v>152</v>
      </c>
      <c r="T145" s="4" t="s">
        <v>301</v>
      </c>
      <c r="U145" s="4">
        <v>0</v>
      </c>
      <c r="V145" s="4">
        <v>26</v>
      </c>
      <c r="W145" s="4">
        <v>57</v>
      </c>
    </row>
    <row r="146" spans="1:2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541.529</v>
      </c>
      <c r="M146" s="6">
        <v>541.529</v>
      </c>
      <c r="N146" s="6">
        <v>541.529</v>
      </c>
      <c r="O146" s="6">
        <v>541.529</v>
      </c>
      <c r="P146" s="6">
        <v>3263</v>
      </c>
      <c r="Q146" s="4" t="s">
        <v>26</v>
      </c>
      <c r="R146" s="4">
        <v>0</v>
      </c>
      <c r="S146" s="4" t="s">
        <v>153</v>
      </c>
      <c r="T146" s="4" t="s">
        <v>302</v>
      </c>
      <c r="U146" s="4">
        <v>0</v>
      </c>
      <c r="V146" s="4">
        <v>26</v>
      </c>
      <c r="W146" s="4">
        <v>57</v>
      </c>
    </row>
    <row r="147" spans="1:23" ht="11.25" customHeight="1" x14ac:dyDescent="0.3">
      <c r="A147" s="4" t="s">
        <v>27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44562</v>
      </c>
      <c r="J147" s="6">
        <v>0</v>
      </c>
      <c r="K147" s="6">
        <v>0</v>
      </c>
      <c r="L147" s="6">
        <v>-0.48299999999999998</v>
      </c>
      <c r="M147" s="6">
        <v>-0.48299999999999998</v>
      </c>
      <c r="N147" s="6">
        <v>-0.48299999999999998</v>
      </c>
      <c r="O147" s="6">
        <v>-0.48299999999999998</v>
      </c>
      <c r="P147" s="6">
        <v>0</v>
      </c>
      <c r="Q147" s="4" t="s">
        <v>26</v>
      </c>
      <c r="R147" s="4">
        <v>0</v>
      </c>
      <c r="S147" s="4" t="s">
        <v>153</v>
      </c>
      <c r="T147" s="4" t="s">
        <v>302</v>
      </c>
      <c r="U147" s="4">
        <v>0</v>
      </c>
      <c r="V147" s="4">
        <v>26</v>
      </c>
      <c r="W147" s="4">
        <v>57</v>
      </c>
    </row>
    <row r="148" spans="1:23" ht="11.25" customHeight="1" x14ac:dyDescent="0.3">
      <c r="A148" s="4" t="s">
        <v>28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4.0149999999999997</v>
      </c>
      <c r="M148" s="6">
        <v>4.0149999999999997</v>
      </c>
      <c r="N148" s="6">
        <v>4.0149999999999997</v>
      </c>
      <c r="O148" s="6">
        <v>4.0149999999999997</v>
      </c>
      <c r="P148" s="6">
        <v>30</v>
      </c>
      <c r="Q148" s="4" t="s">
        <v>26</v>
      </c>
      <c r="R148" s="4">
        <v>0</v>
      </c>
      <c r="S148" s="4" t="s">
        <v>153</v>
      </c>
      <c r="T148" s="4" t="s">
        <v>302</v>
      </c>
      <c r="U148" s="4">
        <v>0</v>
      </c>
      <c r="V148" s="4">
        <v>26</v>
      </c>
      <c r="W148" s="4">
        <v>57</v>
      </c>
    </row>
    <row r="149" spans="1:23" ht="11.25" customHeight="1" x14ac:dyDescent="0.3">
      <c r="A149" s="4" t="s">
        <v>28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0</v>
      </c>
      <c r="K149" s="6">
        <v>0</v>
      </c>
      <c r="L149" s="6">
        <v>-0.40899999999999997</v>
      </c>
      <c r="M149" s="6">
        <v>-0.40899999999999997</v>
      </c>
      <c r="N149" s="6">
        <v>-0.40899999999999997</v>
      </c>
      <c r="O149" s="6">
        <v>-0.40899999999999997</v>
      </c>
      <c r="P149" s="6">
        <v>2</v>
      </c>
      <c r="Q149" s="4" t="s">
        <v>26</v>
      </c>
      <c r="R149" s="4">
        <v>0</v>
      </c>
      <c r="S149" s="4" t="s">
        <v>153</v>
      </c>
      <c r="T149" s="4" t="s">
        <v>302</v>
      </c>
      <c r="U149" s="4">
        <v>0</v>
      </c>
      <c r="V149" s="4">
        <v>26</v>
      </c>
      <c r="W149" s="4">
        <v>57</v>
      </c>
    </row>
    <row r="150" spans="1:2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465.08600000000001</v>
      </c>
      <c r="M150" s="6">
        <v>465.08600000000001</v>
      </c>
      <c r="N150" s="6">
        <v>465.08600000000001</v>
      </c>
      <c r="O150" s="6">
        <v>465.08600000000001</v>
      </c>
      <c r="P150" s="6">
        <v>3276</v>
      </c>
      <c r="Q150" s="4" t="s">
        <v>26</v>
      </c>
      <c r="R150" s="4">
        <v>0</v>
      </c>
      <c r="S150" s="4" t="s">
        <v>154</v>
      </c>
      <c r="T150" s="4" t="s">
        <v>303</v>
      </c>
      <c r="U150" s="4">
        <v>0</v>
      </c>
      <c r="V150" s="4">
        <v>26</v>
      </c>
      <c r="W150" s="4">
        <v>57</v>
      </c>
    </row>
    <row r="151" spans="1:23" ht="11.25" customHeight="1" x14ac:dyDescent="0.3">
      <c r="A151" s="4" t="s">
        <v>27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-0.8</v>
      </c>
      <c r="M151" s="6">
        <v>-0.8</v>
      </c>
      <c r="N151" s="6">
        <v>-0.8</v>
      </c>
      <c r="O151" s="6">
        <v>-0.8</v>
      </c>
      <c r="P151" s="6">
        <v>0</v>
      </c>
      <c r="Q151" s="4" t="s">
        <v>26</v>
      </c>
      <c r="R151" s="4">
        <v>0</v>
      </c>
      <c r="S151" s="4" t="s">
        <v>154</v>
      </c>
      <c r="T151" s="4" t="s">
        <v>303</v>
      </c>
      <c r="U151" s="4">
        <v>0</v>
      </c>
      <c r="V151" s="4">
        <v>26</v>
      </c>
      <c r="W151" s="4">
        <v>57</v>
      </c>
    </row>
    <row r="152" spans="1:23" ht="11.25" customHeight="1" x14ac:dyDescent="0.3">
      <c r="A152" s="4" t="s">
        <v>28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3.8490000000000002</v>
      </c>
      <c r="M152" s="6">
        <v>3.8490000000000002</v>
      </c>
      <c r="N152" s="6">
        <v>3.8490000000000002</v>
      </c>
      <c r="O152" s="6">
        <v>3.8490000000000002</v>
      </c>
      <c r="P152" s="6">
        <v>32</v>
      </c>
      <c r="Q152" s="4" t="s">
        <v>26</v>
      </c>
      <c r="R152" s="4">
        <v>0</v>
      </c>
      <c r="S152" s="4" t="s">
        <v>154</v>
      </c>
      <c r="T152" s="4" t="s">
        <v>303</v>
      </c>
      <c r="U152" s="4">
        <v>0</v>
      </c>
      <c r="V152" s="4">
        <v>26</v>
      </c>
      <c r="W152" s="4">
        <v>57</v>
      </c>
    </row>
    <row r="153" spans="1:2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501.85</v>
      </c>
      <c r="M153" s="6">
        <v>501.85</v>
      </c>
      <c r="N153" s="6">
        <v>501.85</v>
      </c>
      <c r="O153" s="6">
        <v>501.85</v>
      </c>
      <c r="P153" s="6">
        <v>3273</v>
      </c>
      <c r="Q153" s="4" t="s">
        <v>26</v>
      </c>
      <c r="R153" s="4">
        <v>0</v>
      </c>
      <c r="S153" s="4" t="s">
        <v>155</v>
      </c>
      <c r="T153" s="4" t="s">
        <v>304</v>
      </c>
      <c r="U153" s="4">
        <v>0</v>
      </c>
      <c r="V153" s="4">
        <v>26</v>
      </c>
      <c r="W153" s="4">
        <v>57</v>
      </c>
    </row>
    <row r="154" spans="1:2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454.63400000000001</v>
      </c>
      <c r="M154" s="6">
        <v>454.63400000000001</v>
      </c>
      <c r="N154" s="6">
        <v>454.63400000000001</v>
      </c>
      <c r="O154" s="6">
        <v>454.63400000000001</v>
      </c>
      <c r="P154" s="6">
        <v>3280</v>
      </c>
      <c r="Q154" s="4" t="s">
        <v>26</v>
      </c>
      <c r="R154" s="4">
        <v>0</v>
      </c>
      <c r="S154" s="4" t="s">
        <v>156</v>
      </c>
      <c r="T154" s="4" t="s">
        <v>305</v>
      </c>
      <c r="U154" s="4">
        <v>0</v>
      </c>
      <c r="V154" s="4">
        <v>26</v>
      </c>
      <c r="W154" s="4">
        <v>57</v>
      </c>
    </row>
    <row r="155" spans="1:23" ht="11.25" customHeight="1" x14ac:dyDescent="0.3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0</v>
      </c>
      <c r="K155" s="6">
        <v>0</v>
      </c>
      <c r="L155" s="6">
        <v>-0.56000000000000005</v>
      </c>
      <c r="M155" s="6">
        <v>-0.56000000000000005</v>
      </c>
      <c r="N155" s="6">
        <v>-0.56000000000000005</v>
      </c>
      <c r="O155" s="6">
        <v>-0.56000000000000005</v>
      </c>
      <c r="P155" s="6">
        <v>0</v>
      </c>
      <c r="Q155" s="4" t="s">
        <v>26</v>
      </c>
      <c r="R155" s="4">
        <v>0</v>
      </c>
      <c r="S155" s="4" t="s">
        <v>156</v>
      </c>
      <c r="T155" s="4" t="s">
        <v>305</v>
      </c>
      <c r="U155" s="4">
        <v>0</v>
      </c>
      <c r="V155" s="4">
        <v>26</v>
      </c>
      <c r="W155" s="4">
        <v>57</v>
      </c>
    </row>
    <row r="156" spans="1:23" ht="11.25" customHeight="1" x14ac:dyDescent="0.3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44652</v>
      </c>
      <c r="J156" s="6">
        <v>0</v>
      </c>
      <c r="K156" s="6">
        <v>0</v>
      </c>
      <c r="L156" s="6">
        <v>4.4779999999999998</v>
      </c>
      <c r="M156" s="6">
        <v>4.4779999999999998</v>
      </c>
      <c r="N156" s="6">
        <v>4.4779999999999998</v>
      </c>
      <c r="O156" s="6">
        <v>4.4779999999999998</v>
      </c>
      <c r="P156" s="6">
        <v>36</v>
      </c>
      <c r="Q156" s="4" t="s">
        <v>26</v>
      </c>
      <c r="R156" s="4">
        <v>0</v>
      </c>
      <c r="S156" s="4" t="s">
        <v>156</v>
      </c>
      <c r="T156" s="4" t="s">
        <v>305</v>
      </c>
      <c r="U156" s="4">
        <v>0</v>
      </c>
      <c r="V156" s="4">
        <v>26</v>
      </c>
      <c r="W156" s="4">
        <v>57</v>
      </c>
    </row>
    <row r="157" spans="1:2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0</v>
      </c>
      <c r="K157" s="6">
        <v>0</v>
      </c>
      <c r="L157" s="6">
        <v>414.59500000000003</v>
      </c>
      <c r="M157" s="6">
        <v>414.59500000000003</v>
      </c>
      <c r="N157" s="6">
        <v>414.59500000000003</v>
      </c>
      <c r="O157" s="6">
        <v>414.59500000000003</v>
      </c>
      <c r="P157" s="6">
        <v>3286</v>
      </c>
      <c r="Q157" s="4" t="s">
        <v>26</v>
      </c>
      <c r="R157" s="4">
        <v>0</v>
      </c>
      <c r="S157" s="4" t="s">
        <v>157</v>
      </c>
      <c r="T157" s="4" t="s">
        <v>306</v>
      </c>
      <c r="U157" s="4">
        <v>0</v>
      </c>
      <c r="V157" s="4">
        <v>26</v>
      </c>
      <c r="W157" s="4">
        <v>57</v>
      </c>
    </row>
    <row r="158" spans="1:23" ht="11.25" customHeight="1" x14ac:dyDescent="0.3">
      <c r="A158" s="4" t="s">
        <v>27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44682</v>
      </c>
      <c r="J158" s="6">
        <v>0</v>
      </c>
      <c r="K158" s="6">
        <v>0</v>
      </c>
      <c r="L158" s="6">
        <v>-1.095</v>
      </c>
      <c r="M158" s="6">
        <v>-1.095</v>
      </c>
      <c r="N158" s="6">
        <v>-1.095</v>
      </c>
      <c r="O158" s="6">
        <v>-1.095</v>
      </c>
      <c r="P158" s="6">
        <v>0</v>
      </c>
      <c r="Q158" s="4" t="s">
        <v>26</v>
      </c>
      <c r="R158" s="4">
        <v>0</v>
      </c>
      <c r="S158" s="4" t="s">
        <v>157</v>
      </c>
      <c r="T158" s="4" t="s">
        <v>306</v>
      </c>
      <c r="U158" s="4">
        <v>0</v>
      </c>
      <c r="V158" s="4">
        <v>26</v>
      </c>
      <c r="W158" s="4">
        <v>57</v>
      </c>
    </row>
    <row r="159" spans="1:23" ht="11.25" customHeight="1" x14ac:dyDescent="0.3">
      <c r="A159" s="4" t="s">
        <v>28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44682</v>
      </c>
      <c r="J159" s="6">
        <v>0</v>
      </c>
      <c r="K159" s="6">
        <v>0</v>
      </c>
      <c r="L159" s="6">
        <v>4.42</v>
      </c>
      <c r="M159" s="6">
        <v>4.42</v>
      </c>
      <c r="N159" s="6">
        <v>4.42</v>
      </c>
      <c r="O159" s="6">
        <v>4.42</v>
      </c>
      <c r="P159" s="6">
        <v>36</v>
      </c>
      <c r="Q159" s="4" t="s">
        <v>26</v>
      </c>
      <c r="R159" s="4">
        <v>0</v>
      </c>
      <c r="S159" s="4" t="s">
        <v>157</v>
      </c>
      <c r="T159" s="4" t="s">
        <v>306</v>
      </c>
      <c r="U159" s="4">
        <v>0</v>
      </c>
      <c r="V159" s="4">
        <v>26</v>
      </c>
      <c r="W159" s="4">
        <v>57</v>
      </c>
    </row>
    <row r="160" spans="1:2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44713</v>
      </c>
      <c r="J160" s="6">
        <v>0</v>
      </c>
      <c r="K160" s="6">
        <v>0</v>
      </c>
      <c r="L160" s="6">
        <v>374.351</v>
      </c>
      <c r="M160" s="6">
        <v>374.351</v>
      </c>
      <c r="N160" s="6">
        <v>374.351</v>
      </c>
      <c r="O160" s="6">
        <v>374.351</v>
      </c>
      <c r="P160" s="6">
        <v>3173</v>
      </c>
      <c r="Q160" s="4" t="s">
        <v>26</v>
      </c>
      <c r="R160" s="4">
        <v>0</v>
      </c>
      <c r="S160" s="4" t="s">
        <v>158</v>
      </c>
      <c r="T160" s="4" t="s">
        <v>307</v>
      </c>
      <c r="U160" s="4">
        <v>0</v>
      </c>
      <c r="V160" s="4">
        <v>26</v>
      </c>
      <c r="W160" s="4">
        <v>57</v>
      </c>
    </row>
    <row r="161" spans="1:23" ht="11.25" customHeight="1" x14ac:dyDescent="0.3">
      <c r="A161" s="4" t="s">
        <v>27</v>
      </c>
      <c r="B161" s="4" t="s">
        <v>22</v>
      </c>
      <c r="C161" s="4" t="s">
        <v>23</v>
      </c>
      <c r="D161" s="4" t="s">
        <v>24</v>
      </c>
      <c r="E161" s="4" t="s">
        <v>24</v>
      </c>
      <c r="F161" s="4" t="s">
        <v>25</v>
      </c>
      <c r="G161" s="4" t="s">
        <v>25</v>
      </c>
      <c r="H161" s="4" t="s">
        <v>25</v>
      </c>
      <c r="I161" s="5">
        <v>44713</v>
      </c>
      <c r="J161" s="6">
        <v>0</v>
      </c>
      <c r="K161" s="6">
        <v>0</v>
      </c>
      <c r="L161" s="6">
        <v>-1.657</v>
      </c>
      <c r="M161" s="6">
        <v>-1.657</v>
      </c>
      <c r="N161" s="6">
        <v>-1.657</v>
      </c>
      <c r="O161" s="6">
        <v>-1.657</v>
      </c>
      <c r="P161" s="6">
        <v>0</v>
      </c>
      <c r="Q161" s="4" t="s">
        <v>26</v>
      </c>
      <c r="R161" s="4">
        <v>0</v>
      </c>
      <c r="S161" s="4" t="s">
        <v>158</v>
      </c>
      <c r="T161" s="4" t="s">
        <v>307</v>
      </c>
      <c r="U161" s="4">
        <v>0</v>
      </c>
      <c r="V161" s="4">
        <v>26</v>
      </c>
      <c r="W161" s="4">
        <v>57</v>
      </c>
    </row>
    <row r="162" spans="1:23" ht="11.25" customHeight="1" x14ac:dyDescent="0.3">
      <c r="A162" s="4" t="s">
        <v>28</v>
      </c>
      <c r="B162" s="4" t="s">
        <v>22</v>
      </c>
      <c r="C162" s="4" t="s">
        <v>23</v>
      </c>
      <c r="D162" s="4" t="s">
        <v>24</v>
      </c>
      <c r="E162" s="4" t="s">
        <v>24</v>
      </c>
      <c r="F162" s="4" t="s">
        <v>25</v>
      </c>
      <c r="G162" s="4" t="s">
        <v>25</v>
      </c>
      <c r="H162" s="4" t="s">
        <v>25</v>
      </c>
      <c r="I162" s="5">
        <v>44713</v>
      </c>
      <c r="J162" s="6">
        <v>0</v>
      </c>
      <c r="K162" s="6">
        <v>0</v>
      </c>
      <c r="L162" s="6">
        <v>4.8550000000000004</v>
      </c>
      <c r="M162" s="6">
        <v>4.8550000000000004</v>
      </c>
      <c r="N162" s="6">
        <v>4.8550000000000004</v>
      </c>
      <c r="O162" s="6">
        <v>4.8550000000000004</v>
      </c>
      <c r="P162" s="6">
        <v>36</v>
      </c>
      <c r="Q162" s="4" t="s">
        <v>26</v>
      </c>
      <c r="R162" s="4">
        <v>0</v>
      </c>
      <c r="S162" s="4" t="s">
        <v>158</v>
      </c>
      <c r="T162" s="4" t="s">
        <v>307</v>
      </c>
      <c r="U162" s="4">
        <v>0</v>
      </c>
      <c r="V162" s="4">
        <v>26</v>
      </c>
      <c r="W162" s="4">
        <v>57</v>
      </c>
    </row>
    <row r="163" spans="1:23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24</v>
      </c>
      <c r="F163" s="4" t="s">
        <v>25</v>
      </c>
      <c r="G163" s="4" t="s">
        <v>25</v>
      </c>
      <c r="H163" s="4" t="s">
        <v>25</v>
      </c>
      <c r="I163" s="5">
        <v>44743</v>
      </c>
      <c r="J163" s="6">
        <v>0</v>
      </c>
      <c r="K163" s="6">
        <v>0</v>
      </c>
      <c r="L163" s="6">
        <v>391.23700000000002</v>
      </c>
      <c r="M163" s="6">
        <v>391.23700000000002</v>
      </c>
      <c r="N163" s="6">
        <v>391.23700000000002</v>
      </c>
      <c r="O163" s="6">
        <v>391.23700000000002</v>
      </c>
      <c r="P163" s="6">
        <v>3186</v>
      </c>
      <c r="Q163" s="4" t="s">
        <v>26</v>
      </c>
      <c r="R163" s="4">
        <v>0</v>
      </c>
      <c r="S163" s="4" t="s">
        <v>159</v>
      </c>
      <c r="T163" s="4" t="s">
        <v>308</v>
      </c>
      <c r="U163" s="4">
        <v>0</v>
      </c>
      <c r="V163" s="4">
        <v>26</v>
      </c>
      <c r="W163" s="4">
        <v>57</v>
      </c>
    </row>
    <row r="164" spans="1:23" ht="11.25" customHeight="1" x14ac:dyDescent="0.3">
      <c r="A164" s="4" t="s">
        <v>27</v>
      </c>
      <c r="B164" s="4" t="s">
        <v>22</v>
      </c>
      <c r="C164" s="4" t="s">
        <v>23</v>
      </c>
      <c r="D164" s="4" t="s">
        <v>24</v>
      </c>
      <c r="E164" s="4" t="s">
        <v>24</v>
      </c>
      <c r="F164" s="4" t="s">
        <v>25</v>
      </c>
      <c r="G164" s="4" t="s">
        <v>25</v>
      </c>
      <c r="H164" s="4" t="s">
        <v>25</v>
      </c>
      <c r="I164" s="5">
        <v>44743</v>
      </c>
      <c r="J164" s="6">
        <v>0</v>
      </c>
      <c r="K164" s="6">
        <v>0</v>
      </c>
      <c r="L164" s="6">
        <v>-0.378</v>
      </c>
      <c r="M164" s="6">
        <v>-0.378</v>
      </c>
      <c r="N164" s="6">
        <v>-0.378</v>
      </c>
      <c r="O164" s="6">
        <v>-0.378</v>
      </c>
      <c r="P164" s="6">
        <v>0</v>
      </c>
      <c r="Q164" s="4" t="s">
        <v>26</v>
      </c>
      <c r="R164" s="4">
        <v>0</v>
      </c>
      <c r="S164" s="4" t="s">
        <v>159</v>
      </c>
      <c r="T164" s="4" t="s">
        <v>308</v>
      </c>
      <c r="U164" s="4">
        <v>0</v>
      </c>
      <c r="V164" s="4">
        <v>26</v>
      </c>
      <c r="W164" s="4">
        <v>57</v>
      </c>
    </row>
    <row r="165" spans="1:23" ht="11.25" customHeight="1" x14ac:dyDescent="0.3">
      <c r="A165" s="4" t="s">
        <v>28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44743</v>
      </c>
      <c r="J165" s="6">
        <v>0</v>
      </c>
      <c r="K165" s="6">
        <v>0</v>
      </c>
      <c r="L165" s="6">
        <v>4.8810000000000002</v>
      </c>
      <c r="M165" s="6">
        <v>4.8810000000000002</v>
      </c>
      <c r="N165" s="6">
        <v>4.8810000000000002</v>
      </c>
      <c r="O165" s="6">
        <v>4.8810000000000002</v>
      </c>
      <c r="P165" s="6">
        <v>39</v>
      </c>
      <c r="Q165" s="4" t="s">
        <v>26</v>
      </c>
      <c r="R165" s="4">
        <v>0</v>
      </c>
      <c r="S165" s="4" t="s">
        <v>159</v>
      </c>
      <c r="T165" s="4" t="s">
        <v>308</v>
      </c>
      <c r="U165" s="4">
        <v>0</v>
      </c>
      <c r="V165" s="4">
        <v>26</v>
      </c>
      <c r="W165" s="4">
        <v>57</v>
      </c>
    </row>
    <row r="166" spans="1:23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24</v>
      </c>
      <c r="F166" s="4" t="s">
        <v>25</v>
      </c>
      <c r="G166" s="4" t="s">
        <v>25</v>
      </c>
      <c r="H166" s="4" t="s">
        <v>25</v>
      </c>
      <c r="I166" s="5">
        <v>44774</v>
      </c>
      <c r="J166" s="6">
        <v>0</v>
      </c>
      <c r="K166" s="6">
        <v>0</v>
      </c>
      <c r="L166" s="6">
        <v>403.43799999999999</v>
      </c>
      <c r="M166" s="6">
        <v>403.43799999999999</v>
      </c>
      <c r="N166" s="6">
        <v>403.43799999999999</v>
      </c>
      <c r="O166" s="6">
        <v>403.43799999999999</v>
      </c>
      <c r="P166" s="6">
        <v>3283</v>
      </c>
      <c r="Q166" s="4" t="s">
        <v>26</v>
      </c>
      <c r="R166" s="4">
        <v>0</v>
      </c>
      <c r="S166" s="4" t="s">
        <v>160</v>
      </c>
      <c r="T166" s="4" t="s">
        <v>309</v>
      </c>
      <c r="U166" s="4">
        <v>0</v>
      </c>
      <c r="V166" s="4">
        <v>26</v>
      </c>
      <c r="W166" s="4">
        <v>57</v>
      </c>
    </row>
    <row r="167" spans="1:23" ht="11.25" customHeight="1" x14ac:dyDescent="0.3">
      <c r="A167" s="4" t="s">
        <v>27</v>
      </c>
      <c r="B167" s="4" t="s">
        <v>22</v>
      </c>
      <c r="C167" s="4" t="s">
        <v>23</v>
      </c>
      <c r="D167" s="4" t="s">
        <v>24</v>
      </c>
      <c r="E167" s="4" t="s">
        <v>24</v>
      </c>
      <c r="F167" s="4" t="s">
        <v>25</v>
      </c>
      <c r="G167" s="4" t="s">
        <v>25</v>
      </c>
      <c r="H167" s="4" t="s">
        <v>25</v>
      </c>
      <c r="I167" s="5">
        <v>44774</v>
      </c>
      <c r="J167" s="6">
        <v>0</v>
      </c>
      <c r="K167" s="6">
        <v>0</v>
      </c>
      <c r="L167" s="6">
        <v>-0.83899999999999997</v>
      </c>
      <c r="M167" s="6">
        <v>-0.83899999999999997</v>
      </c>
      <c r="N167" s="6">
        <v>-0.83899999999999997</v>
      </c>
      <c r="O167" s="6">
        <v>-0.83899999999999997</v>
      </c>
      <c r="P167" s="6">
        <v>0</v>
      </c>
      <c r="Q167" s="4" t="s">
        <v>26</v>
      </c>
      <c r="R167" s="4">
        <v>0</v>
      </c>
      <c r="S167" s="4" t="s">
        <v>160</v>
      </c>
      <c r="T167" s="4" t="s">
        <v>309</v>
      </c>
      <c r="U167" s="4">
        <v>0</v>
      </c>
      <c r="V167" s="4">
        <v>26</v>
      </c>
      <c r="W167" s="4">
        <v>57</v>
      </c>
    </row>
    <row r="168" spans="1:23" ht="11.25" customHeight="1" x14ac:dyDescent="0.3">
      <c r="A168" s="4" t="s">
        <v>28</v>
      </c>
      <c r="B168" s="4" t="s">
        <v>22</v>
      </c>
      <c r="C168" s="4" t="s">
        <v>23</v>
      </c>
      <c r="D168" s="4" t="s">
        <v>24</v>
      </c>
      <c r="E168" s="4" t="s">
        <v>24</v>
      </c>
      <c r="F168" s="4" t="s">
        <v>25</v>
      </c>
      <c r="G168" s="4" t="s">
        <v>25</v>
      </c>
      <c r="H168" s="4" t="s">
        <v>25</v>
      </c>
      <c r="I168" s="5">
        <v>44774</v>
      </c>
      <c r="J168" s="6">
        <v>0</v>
      </c>
      <c r="K168" s="6">
        <v>0</v>
      </c>
      <c r="L168" s="6">
        <v>4.7830000000000004</v>
      </c>
      <c r="M168" s="6">
        <v>4.7830000000000004</v>
      </c>
      <c r="N168" s="6">
        <v>4.7830000000000004</v>
      </c>
      <c r="O168" s="6">
        <v>4.7830000000000004</v>
      </c>
      <c r="P168" s="6">
        <v>41</v>
      </c>
      <c r="Q168" s="4" t="s">
        <v>26</v>
      </c>
      <c r="R168" s="4">
        <v>0</v>
      </c>
      <c r="S168" s="4" t="s">
        <v>160</v>
      </c>
      <c r="T168" s="4" t="s">
        <v>309</v>
      </c>
      <c r="U168" s="4">
        <v>0</v>
      </c>
      <c r="V168" s="4">
        <v>26</v>
      </c>
      <c r="W168" s="4">
        <v>57</v>
      </c>
    </row>
    <row r="169" spans="1:23" ht="11.25" customHeight="1" x14ac:dyDescent="0.3">
      <c r="A169" s="4" t="s">
        <v>28</v>
      </c>
      <c r="B169" s="4" t="s">
        <v>22</v>
      </c>
      <c r="C169" s="4" t="s">
        <v>23</v>
      </c>
      <c r="D169" s="4" t="s">
        <v>24</v>
      </c>
      <c r="E169" s="4" t="s">
        <v>24</v>
      </c>
      <c r="F169" s="4" t="s">
        <v>25</v>
      </c>
      <c r="G169" s="4" t="s">
        <v>25</v>
      </c>
      <c r="H169" s="4" t="s">
        <v>25</v>
      </c>
      <c r="I169" s="5">
        <v>44774</v>
      </c>
      <c r="J169" s="6">
        <v>0</v>
      </c>
      <c r="K169" s="6">
        <v>0</v>
      </c>
      <c r="L169" s="6">
        <v>-0.55300000000000005</v>
      </c>
      <c r="M169" s="6">
        <v>-0.55300000000000005</v>
      </c>
      <c r="N169" s="6">
        <v>-0.55300000000000005</v>
      </c>
      <c r="O169" s="6">
        <v>-0.55300000000000005</v>
      </c>
      <c r="P169" s="6">
        <v>5</v>
      </c>
      <c r="Q169" s="4" t="s">
        <v>26</v>
      </c>
      <c r="R169" s="4">
        <v>0</v>
      </c>
      <c r="S169" s="4" t="s">
        <v>160</v>
      </c>
      <c r="T169" s="4" t="s">
        <v>309</v>
      </c>
      <c r="U169" s="4">
        <v>0</v>
      </c>
      <c r="V169" s="4">
        <v>26</v>
      </c>
      <c r="W169" s="4">
        <v>57</v>
      </c>
    </row>
    <row r="170" spans="1:23" ht="11.25" customHeight="1" x14ac:dyDescent="0.3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29</v>
      </c>
      <c r="F170" s="4" t="s">
        <v>25</v>
      </c>
      <c r="G170" s="4" t="s">
        <v>25</v>
      </c>
      <c r="H170" s="4" t="s">
        <v>25</v>
      </c>
      <c r="I170" s="5">
        <v>44440</v>
      </c>
      <c r="J170" s="6">
        <v>0</v>
      </c>
      <c r="K170" s="6">
        <v>0</v>
      </c>
      <c r="L170" s="6">
        <v>3.63</v>
      </c>
      <c r="M170" s="6">
        <v>3.63</v>
      </c>
      <c r="N170" s="6">
        <v>3.63</v>
      </c>
      <c r="O170" s="6">
        <v>3.63</v>
      </c>
      <c r="P170" s="6">
        <v>0</v>
      </c>
      <c r="Q170" s="4" t="s">
        <v>26</v>
      </c>
      <c r="R170" s="4">
        <v>0</v>
      </c>
      <c r="S170" s="4" t="s">
        <v>161</v>
      </c>
      <c r="T170" s="4" t="s">
        <v>310</v>
      </c>
      <c r="U170" s="4">
        <v>0</v>
      </c>
      <c r="V170" s="4">
        <v>31</v>
      </c>
      <c r="W170" s="4">
        <v>78</v>
      </c>
    </row>
    <row r="171" spans="1:23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29</v>
      </c>
      <c r="F171" s="4" t="s">
        <v>25</v>
      </c>
      <c r="G171" s="4" t="s">
        <v>25</v>
      </c>
      <c r="H171" s="4" t="s">
        <v>25</v>
      </c>
      <c r="I171" s="5">
        <v>44470</v>
      </c>
      <c r="J171" s="6">
        <v>0</v>
      </c>
      <c r="K171" s="6">
        <v>0</v>
      </c>
      <c r="L171" s="6">
        <v>3.63</v>
      </c>
      <c r="M171" s="6">
        <v>3.63</v>
      </c>
      <c r="N171" s="6">
        <v>3.63</v>
      </c>
      <c r="O171" s="6">
        <v>3.63</v>
      </c>
      <c r="P171" s="6">
        <v>0</v>
      </c>
      <c r="Q171" s="4" t="s">
        <v>26</v>
      </c>
      <c r="R171" s="4">
        <v>0</v>
      </c>
      <c r="S171" s="4" t="s">
        <v>162</v>
      </c>
      <c r="T171" s="4" t="s">
        <v>311</v>
      </c>
      <c r="U171" s="4">
        <v>0</v>
      </c>
      <c r="V171" s="4">
        <v>31</v>
      </c>
      <c r="W171" s="4">
        <v>78</v>
      </c>
    </row>
    <row r="172" spans="1:23" ht="11.25" customHeight="1" x14ac:dyDescent="0.3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29</v>
      </c>
      <c r="F172" s="4" t="s">
        <v>25</v>
      </c>
      <c r="G172" s="4" t="s">
        <v>25</v>
      </c>
      <c r="H172" s="4" t="s">
        <v>25</v>
      </c>
      <c r="I172" s="5">
        <v>44501</v>
      </c>
      <c r="J172" s="6">
        <v>0</v>
      </c>
      <c r="K172" s="6">
        <v>0</v>
      </c>
      <c r="L172" s="6">
        <v>3.6</v>
      </c>
      <c r="M172" s="6">
        <v>3.6</v>
      </c>
      <c r="N172" s="6">
        <v>3.6</v>
      </c>
      <c r="O172" s="6">
        <v>3.6</v>
      </c>
      <c r="P172" s="6">
        <v>0</v>
      </c>
      <c r="Q172" s="4" t="s">
        <v>26</v>
      </c>
      <c r="R172" s="4">
        <v>0</v>
      </c>
      <c r="S172" s="4" t="s">
        <v>163</v>
      </c>
      <c r="T172" s="4" t="s">
        <v>312</v>
      </c>
      <c r="U172" s="4">
        <v>0</v>
      </c>
      <c r="V172" s="4">
        <v>31</v>
      </c>
      <c r="W172" s="4">
        <v>78</v>
      </c>
    </row>
    <row r="173" spans="1:23" ht="11.25" customHeight="1" x14ac:dyDescent="0.3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29</v>
      </c>
      <c r="F173" s="4" t="s">
        <v>25</v>
      </c>
      <c r="G173" s="4" t="s">
        <v>25</v>
      </c>
      <c r="H173" s="4" t="s">
        <v>25</v>
      </c>
      <c r="I173" s="5">
        <v>44531</v>
      </c>
      <c r="J173" s="6">
        <v>0</v>
      </c>
      <c r="K173" s="6">
        <v>0</v>
      </c>
      <c r="L173" s="6">
        <v>3.66</v>
      </c>
      <c r="M173" s="6">
        <v>3.66</v>
      </c>
      <c r="N173" s="6">
        <v>3.66</v>
      </c>
      <c r="O173" s="6">
        <v>3.66</v>
      </c>
      <c r="P173" s="6">
        <v>0</v>
      </c>
      <c r="Q173" s="4" t="s">
        <v>26</v>
      </c>
      <c r="R173" s="4">
        <v>0</v>
      </c>
      <c r="S173" s="4" t="s">
        <v>164</v>
      </c>
      <c r="T173" s="4" t="s">
        <v>313</v>
      </c>
      <c r="U173" s="4">
        <v>0</v>
      </c>
      <c r="V173" s="4">
        <v>31</v>
      </c>
      <c r="W173" s="4">
        <v>78</v>
      </c>
    </row>
    <row r="174" spans="1:23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29</v>
      </c>
      <c r="F174" s="4" t="s">
        <v>25</v>
      </c>
      <c r="G174" s="4" t="s">
        <v>25</v>
      </c>
      <c r="H174" s="4" t="s">
        <v>25</v>
      </c>
      <c r="I174" s="5">
        <v>44562</v>
      </c>
      <c r="J174" s="6">
        <v>0</v>
      </c>
      <c r="K174" s="6">
        <v>0</v>
      </c>
      <c r="L174" s="6">
        <v>3.6</v>
      </c>
      <c r="M174" s="6">
        <v>3.6</v>
      </c>
      <c r="N174" s="6">
        <v>3.6</v>
      </c>
      <c r="O174" s="6">
        <v>3.6</v>
      </c>
      <c r="P174" s="6">
        <v>0</v>
      </c>
      <c r="Q174" s="4" t="s">
        <v>26</v>
      </c>
      <c r="R174" s="4">
        <v>0</v>
      </c>
      <c r="S174" s="4" t="s">
        <v>165</v>
      </c>
      <c r="T174" s="4" t="s">
        <v>314</v>
      </c>
      <c r="U174" s="4">
        <v>0</v>
      </c>
      <c r="V174" s="4">
        <v>31</v>
      </c>
      <c r="W174" s="4">
        <v>78</v>
      </c>
    </row>
    <row r="175" spans="1:23" ht="11.25" customHeight="1" x14ac:dyDescent="0.3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29</v>
      </c>
      <c r="F175" s="4" t="s">
        <v>25</v>
      </c>
      <c r="G175" s="4" t="s">
        <v>25</v>
      </c>
      <c r="H175" s="4" t="s">
        <v>25</v>
      </c>
      <c r="I175" s="5">
        <v>44593</v>
      </c>
      <c r="J175" s="6">
        <v>0</v>
      </c>
      <c r="K175" s="6">
        <v>0</v>
      </c>
      <c r="L175" s="6">
        <v>3.72</v>
      </c>
      <c r="M175" s="6">
        <v>3.72</v>
      </c>
      <c r="N175" s="6">
        <v>3.72</v>
      </c>
      <c r="O175" s="6">
        <v>3.72</v>
      </c>
      <c r="P175" s="6">
        <v>1</v>
      </c>
      <c r="Q175" s="4" t="s">
        <v>26</v>
      </c>
      <c r="R175" s="4">
        <v>0</v>
      </c>
      <c r="S175" s="4" t="s">
        <v>166</v>
      </c>
      <c r="T175" s="4" t="s">
        <v>315</v>
      </c>
      <c r="U175" s="4">
        <v>0</v>
      </c>
      <c r="V175" s="4">
        <v>31</v>
      </c>
      <c r="W175" s="4">
        <v>78</v>
      </c>
    </row>
    <row r="176" spans="1:23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29</v>
      </c>
      <c r="F176" s="4" t="s">
        <v>25</v>
      </c>
      <c r="G176" s="4" t="s">
        <v>25</v>
      </c>
      <c r="H176" s="4" t="s">
        <v>25</v>
      </c>
      <c r="I176" s="5">
        <v>44621</v>
      </c>
      <c r="J176" s="6">
        <v>0</v>
      </c>
      <c r="K176" s="6">
        <v>0</v>
      </c>
      <c r="L176" s="6">
        <v>3.74</v>
      </c>
      <c r="M176" s="6">
        <v>3.74</v>
      </c>
      <c r="N176" s="6">
        <v>3.74</v>
      </c>
      <c r="O176" s="6">
        <v>3.74</v>
      </c>
      <c r="P176" s="6">
        <v>2</v>
      </c>
      <c r="Q176" s="4" t="s">
        <v>26</v>
      </c>
      <c r="R176" s="4">
        <v>0</v>
      </c>
      <c r="S176" s="4" t="s">
        <v>167</v>
      </c>
      <c r="T176" s="4" t="s">
        <v>316</v>
      </c>
      <c r="U176" s="4">
        <v>0</v>
      </c>
      <c r="V176" s="4">
        <v>31</v>
      </c>
      <c r="W176" s="4">
        <v>78</v>
      </c>
    </row>
    <row r="177" spans="1:23" ht="11.25" customHeight="1" x14ac:dyDescent="0.3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29</v>
      </c>
      <c r="F177" s="4" t="s">
        <v>25</v>
      </c>
      <c r="G177" s="4" t="s">
        <v>25</v>
      </c>
      <c r="H177" s="4" t="s">
        <v>25</v>
      </c>
      <c r="I177" s="5">
        <v>44652</v>
      </c>
      <c r="J177" s="6">
        <v>0</v>
      </c>
      <c r="K177" s="6">
        <v>0</v>
      </c>
      <c r="L177" s="6">
        <v>3.84</v>
      </c>
      <c r="M177" s="6">
        <v>3.84</v>
      </c>
      <c r="N177" s="6">
        <v>3.84</v>
      </c>
      <c r="O177" s="6">
        <v>3.84</v>
      </c>
      <c r="P177" s="6">
        <v>0</v>
      </c>
      <c r="Q177" s="4" t="s">
        <v>26</v>
      </c>
      <c r="R177" s="4">
        <v>0</v>
      </c>
      <c r="S177" s="4" t="s">
        <v>168</v>
      </c>
      <c r="T177" s="4" t="s">
        <v>317</v>
      </c>
      <c r="U177" s="4">
        <v>0</v>
      </c>
      <c r="V177" s="4">
        <v>31</v>
      </c>
      <c r="W177" s="4">
        <v>78</v>
      </c>
    </row>
    <row r="178" spans="1:23" ht="11.25" customHeight="1" x14ac:dyDescent="0.3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29</v>
      </c>
      <c r="F178" s="4" t="s">
        <v>25</v>
      </c>
      <c r="G178" s="4" t="s">
        <v>25</v>
      </c>
      <c r="H178" s="4" t="s">
        <v>25</v>
      </c>
      <c r="I178" s="5">
        <v>44682</v>
      </c>
      <c r="J178" s="6">
        <v>0</v>
      </c>
      <c r="K178" s="6">
        <v>0</v>
      </c>
      <c r="L178" s="6">
        <v>3.93</v>
      </c>
      <c r="M178" s="6">
        <v>3.93</v>
      </c>
      <c r="N178" s="6">
        <v>3.93</v>
      </c>
      <c r="O178" s="6">
        <v>3.93</v>
      </c>
      <c r="P178" s="6">
        <v>0</v>
      </c>
      <c r="Q178" s="4" t="s">
        <v>26</v>
      </c>
      <c r="R178" s="4">
        <v>0</v>
      </c>
      <c r="S178" s="4" t="s">
        <v>169</v>
      </c>
      <c r="T178" s="4" t="s">
        <v>318</v>
      </c>
      <c r="U178" s="4">
        <v>0</v>
      </c>
      <c r="V178" s="4">
        <v>31</v>
      </c>
      <c r="W178" s="4">
        <v>78</v>
      </c>
    </row>
    <row r="179" spans="1:23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29</v>
      </c>
      <c r="F179" s="4" t="s">
        <v>25</v>
      </c>
      <c r="G179" s="4" t="s">
        <v>25</v>
      </c>
      <c r="H179" s="4" t="s">
        <v>25</v>
      </c>
      <c r="I179" s="5">
        <v>44713</v>
      </c>
      <c r="J179" s="6">
        <v>0</v>
      </c>
      <c r="K179" s="6">
        <v>0</v>
      </c>
      <c r="L179" s="6">
        <v>7.44</v>
      </c>
      <c r="M179" s="6">
        <v>7.44</v>
      </c>
      <c r="N179" s="6">
        <v>7.44</v>
      </c>
      <c r="O179" s="6">
        <v>7.44</v>
      </c>
      <c r="P179" s="6">
        <v>3</v>
      </c>
      <c r="Q179" s="4" t="s">
        <v>26</v>
      </c>
      <c r="R179" s="4">
        <v>0</v>
      </c>
      <c r="S179" s="4" t="s">
        <v>170</v>
      </c>
      <c r="T179" s="4" t="s">
        <v>319</v>
      </c>
      <c r="U179" s="4">
        <v>0</v>
      </c>
      <c r="V179" s="4">
        <v>31</v>
      </c>
      <c r="W179" s="4">
        <v>78</v>
      </c>
    </row>
    <row r="180" spans="1:23" ht="11.25" customHeight="1" x14ac:dyDescent="0.3">
      <c r="A180" s="4" t="s">
        <v>27</v>
      </c>
      <c r="B180" s="4" t="s">
        <v>22</v>
      </c>
      <c r="C180" s="4" t="s">
        <v>23</v>
      </c>
      <c r="D180" s="4" t="s">
        <v>24</v>
      </c>
      <c r="E180" s="4" t="s">
        <v>29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0.06</v>
      </c>
      <c r="M180" s="6">
        <v>0.06</v>
      </c>
      <c r="N180" s="6">
        <v>0.06</v>
      </c>
      <c r="O180" s="6">
        <v>0.06</v>
      </c>
      <c r="P180" s="6">
        <v>0</v>
      </c>
      <c r="Q180" s="4" t="s">
        <v>26</v>
      </c>
      <c r="R180" s="4">
        <v>0</v>
      </c>
      <c r="S180" s="4" t="s">
        <v>170</v>
      </c>
      <c r="T180" s="4" t="s">
        <v>319</v>
      </c>
      <c r="U180" s="4">
        <v>0</v>
      </c>
      <c r="V180" s="4">
        <v>31</v>
      </c>
      <c r="W180" s="4">
        <v>78</v>
      </c>
    </row>
    <row r="181" spans="1:23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29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7.4160000000000004</v>
      </c>
      <c r="M181" s="6">
        <v>7.4160000000000004</v>
      </c>
      <c r="N181" s="6">
        <v>7.4160000000000004</v>
      </c>
      <c r="O181" s="6">
        <v>7.4160000000000004</v>
      </c>
      <c r="P181" s="6">
        <v>11</v>
      </c>
      <c r="Q181" s="4" t="s">
        <v>26</v>
      </c>
      <c r="R181" s="4">
        <v>0</v>
      </c>
      <c r="S181" s="4" t="s">
        <v>171</v>
      </c>
      <c r="T181" s="4" t="s">
        <v>320</v>
      </c>
      <c r="U181" s="4">
        <v>0</v>
      </c>
      <c r="V181" s="4">
        <v>31</v>
      </c>
      <c r="W181" s="4">
        <v>78</v>
      </c>
    </row>
    <row r="182" spans="1:23" ht="11.25" customHeight="1" x14ac:dyDescent="0.3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29</v>
      </c>
      <c r="F182" s="4" t="s">
        <v>25</v>
      </c>
      <c r="G182" s="4" t="s">
        <v>25</v>
      </c>
      <c r="H182" s="4" t="s">
        <v>25</v>
      </c>
      <c r="I182" s="5">
        <v>44774</v>
      </c>
      <c r="J182" s="6">
        <v>0</v>
      </c>
      <c r="K182" s="6">
        <v>0</v>
      </c>
      <c r="L182" s="6">
        <v>5.55</v>
      </c>
      <c r="M182" s="6">
        <v>5.55</v>
      </c>
      <c r="N182" s="6">
        <v>5.55</v>
      </c>
      <c r="O182" s="6">
        <v>5.55</v>
      </c>
      <c r="P182" s="6">
        <v>3</v>
      </c>
      <c r="Q182" s="4" t="s">
        <v>26</v>
      </c>
      <c r="R182" s="4">
        <v>0</v>
      </c>
      <c r="S182" s="4" t="s">
        <v>172</v>
      </c>
      <c r="T182" s="4" t="s">
        <v>321</v>
      </c>
      <c r="U182" s="4">
        <v>0</v>
      </c>
      <c r="V182" s="4">
        <v>31</v>
      </c>
      <c r="W182" s="4">
        <v>78</v>
      </c>
    </row>
    <row r="183" spans="1:23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30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7.7220000000000004</v>
      </c>
      <c r="M183" s="6">
        <v>7.7220000000000004</v>
      </c>
      <c r="N183" s="6">
        <v>7.7220000000000004</v>
      </c>
      <c r="O183" s="6">
        <v>7.7220000000000004</v>
      </c>
      <c r="P183" s="6">
        <v>30</v>
      </c>
      <c r="Q183" s="4" t="s">
        <v>26</v>
      </c>
      <c r="R183" s="4">
        <v>0</v>
      </c>
      <c r="S183" s="4" t="s">
        <v>173</v>
      </c>
      <c r="T183" s="4" t="s">
        <v>322</v>
      </c>
      <c r="U183" s="4">
        <v>0</v>
      </c>
      <c r="V183" s="4">
        <v>33</v>
      </c>
      <c r="W183" s="4">
        <v>84</v>
      </c>
    </row>
    <row r="184" spans="1:23" ht="11.25" customHeight="1" x14ac:dyDescent="0.3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30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0</v>
      </c>
      <c r="K184" s="6">
        <v>0</v>
      </c>
      <c r="L184" s="6">
        <v>7.4450000000000003</v>
      </c>
      <c r="M184" s="6">
        <v>7.4450000000000003</v>
      </c>
      <c r="N184" s="6">
        <v>7.4450000000000003</v>
      </c>
      <c r="O184" s="6">
        <v>7.4450000000000003</v>
      </c>
      <c r="P184" s="6">
        <v>39</v>
      </c>
      <c r="Q184" s="4" t="s">
        <v>26</v>
      </c>
      <c r="R184" s="4">
        <v>0</v>
      </c>
      <c r="S184" s="4" t="s">
        <v>174</v>
      </c>
      <c r="T184" s="4" t="s">
        <v>323</v>
      </c>
      <c r="U184" s="4">
        <v>0</v>
      </c>
      <c r="V184" s="4">
        <v>33</v>
      </c>
      <c r="W184" s="4">
        <v>84</v>
      </c>
    </row>
    <row r="185" spans="1:23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30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0</v>
      </c>
      <c r="K185" s="6">
        <v>0</v>
      </c>
      <c r="L185" s="6">
        <v>7.48</v>
      </c>
      <c r="M185" s="6">
        <v>7.48</v>
      </c>
      <c r="N185" s="6">
        <v>7.48</v>
      </c>
      <c r="O185" s="6">
        <v>7.48</v>
      </c>
      <c r="P185" s="6">
        <v>32</v>
      </c>
      <c r="Q185" s="4" t="s">
        <v>26</v>
      </c>
      <c r="R185" s="4">
        <v>0</v>
      </c>
      <c r="S185" s="4" t="s">
        <v>175</v>
      </c>
      <c r="T185" s="4" t="s">
        <v>324</v>
      </c>
      <c r="U185" s="4">
        <v>0</v>
      </c>
      <c r="V185" s="4">
        <v>33</v>
      </c>
      <c r="W185" s="4">
        <v>84</v>
      </c>
    </row>
    <row r="186" spans="1:23" ht="11.25" customHeight="1" x14ac:dyDescent="0.3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30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7.7610000000000001</v>
      </c>
      <c r="M186" s="6">
        <v>7.7610000000000001</v>
      </c>
      <c r="N186" s="6">
        <v>7.7610000000000001</v>
      </c>
      <c r="O186" s="6">
        <v>7.7610000000000001</v>
      </c>
      <c r="P186" s="6">
        <v>27</v>
      </c>
      <c r="Q186" s="4" t="s">
        <v>26</v>
      </c>
      <c r="R186" s="4">
        <v>0</v>
      </c>
      <c r="S186" s="4" t="s">
        <v>176</v>
      </c>
      <c r="T186" s="4" t="s">
        <v>325</v>
      </c>
      <c r="U186" s="4">
        <v>0</v>
      </c>
      <c r="V186" s="4">
        <v>33</v>
      </c>
      <c r="W186" s="4">
        <v>84</v>
      </c>
    </row>
    <row r="187" spans="1:23" ht="11.25" customHeight="1" x14ac:dyDescent="0.3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30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7.7949999999999999</v>
      </c>
      <c r="M187" s="6">
        <v>7.7949999999999999</v>
      </c>
      <c r="N187" s="6">
        <v>7.7949999999999999</v>
      </c>
      <c r="O187" s="6">
        <v>7.7949999999999999</v>
      </c>
      <c r="P187" s="6">
        <v>20</v>
      </c>
      <c r="Q187" s="4" t="s">
        <v>26</v>
      </c>
      <c r="R187" s="4">
        <v>0</v>
      </c>
      <c r="S187" s="4" t="s">
        <v>177</v>
      </c>
      <c r="T187" s="4" t="s">
        <v>326</v>
      </c>
      <c r="U187" s="4">
        <v>0</v>
      </c>
      <c r="V187" s="4">
        <v>33</v>
      </c>
      <c r="W187" s="4">
        <v>84</v>
      </c>
    </row>
    <row r="188" spans="1:23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30</v>
      </c>
      <c r="F188" s="4" t="s">
        <v>25</v>
      </c>
      <c r="G188" s="4" t="s">
        <v>25</v>
      </c>
      <c r="H188" s="4" t="s">
        <v>25</v>
      </c>
      <c r="I188" s="5">
        <v>44593</v>
      </c>
      <c r="J188" s="6">
        <v>0</v>
      </c>
      <c r="K188" s="6">
        <v>0</v>
      </c>
      <c r="L188" s="6">
        <v>8.0180000000000007</v>
      </c>
      <c r="M188" s="6">
        <v>8.0180000000000007</v>
      </c>
      <c r="N188" s="6">
        <v>8.0180000000000007</v>
      </c>
      <c r="O188" s="6">
        <v>8.0180000000000007</v>
      </c>
      <c r="P188" s="6">
        <v>24</v>
      </c>
      <c r="Q188" s="4" t="s">
        <v>26</v>
      </c>
      <c r="R188" s="4">
        <v>0</v>
      </c>
      <c r="S188" s="4" t="s">
        <v>178</v>
      </c>
      <c r="T188" s="4" t="s">
        <v>327</v>
      </c>
      <c r="U188" s="4">
        <v>0</v>
      </c>
      <c r="V188" s="4">
        <v>33</v>
      </c>
      <c r="W188" s="4">
        <v>84</v>
      </c>
    </row>
    <row r="189" spans="1:23" ht="11.25" customHeight="1" x14ac:dyDescent="0.3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30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8.0980000000000008</v>
      </c>
      <c r="M189" s="6">
        <v>8.0980000000000008</v>
      </c>
      <c r="N189" s="6">
        <v>8.0980000000000008</v>
      </c>
      <c r="O189" s="6">
        <v>8.0980000000000008</v>
      </c>
      <c r="P189" s="6">
        <v>20</v>
      </c>
      <c r="Q189" s="4" t="s">
        <v>26</v>
      </c>
      <c r="R189" s="4">
        <v>0</v>
      </c>
      <c r="S189" s="4" t="s">
        <v>179</v>
      </c>
      <c r="T189" s="4" t="s">
        <v>328</v>
      </c>
      <c r="U189" s="4">
        <v>0</v>
      </c>
      <c r="V189" s="4">
        <v>33</v>
      </c>
      <c r="W189" s="4">
        <v>84</v>
      </c>
    </row>
    <row r="190" spans="1:23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30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8.4</v>
      </c>
      <c r="M190" s="6">
        <v>8.4</v>
      </c>
      <c r="N190" s="6">
        <v>8.4</v>
      </c>
      <c r="O190" s="6">
        <v>8.4</v>
      </c>
      <c r="P190" s="6">
        <v>23</v>
      </c>
      <c r="Q190" s="4" t="s">
        <v>26</v>
      </c>
      <c r="R190" s="4">
        <v>0</v>
      </c>
      <c r="S190" s="4" t="s">
        <v>180</v>
      </c>
      <c r="T190" s="4" t="s">
        <v>329</v>
      </c>
      <c r="U190" s="4">
        <v>0</v>
      </c>
      <c r="V190" s="4">
        <v>33</v>
      </c>
      <c r="W190" s="4">
        <v>84</v>
      </c>
    </row>
    <row r="191" spans="1:23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30</v>
      </c>
      <c r="F191" s="4" t="s">
        <v>25</v>
      </c>
      <c r="G191" s="4" t="s">
        <v>25</v>
      </c>
      <c r="H191" s="4" t="s">
        <v>25</v>
      </c>
      <c r="I191" s="5">
        <v>44682</v>
      </c>
      <c r="J191" s="6">
        <v>0</v>
      </c>
      <c r="K191" s="6">
        <v>0</v>
      </c>
      <c r="L191" s="6">
        <v>8.14</v>
      </c>
      <c r="M191" s="6">
        <v>8.14</v>
      </c>
      <c r="N191" s="6">
        <v>8.14</v>
      </c>
      <c r="O191" s="6">
        <v>8.14</v>
      </c>
      <c r="P191" s="6">
        <v>35</v>
      </c>
      <c r="Q191" s="4" t="s">
        <v>26</v>
      </c>
      <c r="R191" s="4">
        <v>0</v>
      </c>
      <c r="S191" s="4" t="s">
        <v>181</v>
      </c>
      <c r="T191" s="4" t="s">
        <v>330</v>
      </c>
      <c r="U191" s="4">
        <v>0</v>
      </c>
      <c r="V191" s="4">
        <v>33</v>
      </c>
      <c r="W191" s="4">
        <v>84</v>
      </c>
    </row>
    <row r="192" spans="1:23" ht="11.25" customHeight="1" x14ac:dyDescent="0.3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30</v>
      </c>
      <c r="F192" s="4" t="s">
        <v>25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12.893000000000001</v>
      </c>
      <c r="M192" s="6">
        <v>12.893000000000001</v>
      </c>
      <c r="N192" s="6">
        <v>12.893000000000001</v>
      </c>
      <c r="O192" s="6">
        <v>12.893000000000001</v>
      </c>
      <c r="P192" s="6">
        <v>119</v>
      </c>
      <c r="Q192" s="4" t="s">
        <v>26</v>
      </c>
      <c r="R192" s="4">
        <v>0</v>
      </c>
      <c r="S192" s="4" t="s">
        <v>182</v>
      </c>
      <c r="T192" s="4" t="s">
        <v>331</v>
      </c>
      <c r="U192" s="4">
        <v>0</v>
      </c>
      <c r="V192" s="4">
        <v>33</v>
      </c>
      <c r="W192" s="4">
        <v>84</v>
      </c>
    </row>
    <row r="193" spans="1:23" ht="11.25" customHeight="1" x14ac:dyDescent="0.3">
      <c r="A193" s="4" t="s">
        <v>27</v>
      </c>
      <c r="B193" s="4" t="s">
        <v>22</v>
      </c>
      <c r="C193" s="4" t="s">
        <v>23</v>
      </c>
      <c r="D193" s="4" t="s">
        <v>24</v>
      </c>
      <c r="E193" s="4" t="s">
        <v>30</v>
      </c>
      <c r="F193" s="4" t="s">
        <v>25</v>
      </c>
      <c r="G193" s="4" t="s">
        <v>25</v>
      </c>
      <c r="H193" s="4" t="s">
        <v>25</v>
      </c>
      <c r="I193" s="5">
        <v>44713</v>
      </c>
      <c r="J193" s="6">
        <v>0</v>
      </c>
      <c r="K193" s="6">
        <v>0</v>
      </c>
      <c r="L193" s="6">
        <v>0.14000000000000001</v>
      </c>
      <c r="M193" s="6">
        <v>0.14000000000000001</v>
      </c>
      <c r="N193" s="6">
        <v>0.14000000000000001</v>
      </c>
      <c r="O193" s="6">
        <v>0.14000000000000001</v>
      </c>
      <c r="P193" s="6">
        <v>0</v>
      </c>
      <c r="Q193" s="4" t="s">
        <v>26</v>
      </c>
      <c r="R193" s="4">
        <v>0</v>
      </c>
      <c r="S193" s="4" t="s">
        <v>182</v>
      </c>
      <c r="T193" s="4" t="s">
        <v>331</v>
      </c>
      <c r="U193" s="4">
        <v>0</v>
      </c>
      <c r="V193" s="4">
        <v>33</v>
      </c>
      <c r="W193" s="4">
        <v>84</v>
      </c>
    </row>
    <row r="194" spans="1:23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30</v>
      </c>
      <c r="F194" s="4" t="s">
        <v>25</v>
      </c>
      <c r="G194" s="4" t="s">
        <v>25</v>
      </c>
      <c r="H194" s="4" t="s">
        <v>25</v>
      </c>
      <c r="I194" s="5">
        <v>44743</v>
      </c>
      <c r="J194" s="6">
        <v>0</v>
      </c>
      <c r="K194" s="6">
        <v>0</v>
      </c>
      <c r="L194" s="6">
        <v>12.66</v>
      </c>
      <c r="M194" s="6">
        <v>12.66</v>
      </c>
      <c r="N194" s="6">
        <v>12.66</v>
      </c>
      <c r="O194" s="6">
        <v>12.66</v>
      </c>
      <c r="P194" s="6">
        <v>115</v>
      </c>
      <c r="Q194" s="4" t="s">
        <v>26</v>
      </c>
      <c r="R194" s="4">
        <v>0</v>
      </c>
      <c r="S194" s="4" t="s">
        <v>183</v>
      </c>
      <c r="T194" s="4" t="s">
        <v>332</v>
      </c>
      <c r="U194" s="4">
        <v>0</v>
      </c>
      <c r="V194" s="4">
        <v>33</v>
      </c>
      <c r="W194" s="4">
        <v>84</v>
      </c>
    </row>
    <row r="195" spans="1:23" ht="11.25" customHeight="1" x14ac:dyDescent="0.3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30</v>
      </c>
      <c r="F195" s="4" t="s">
        <v>25</v>
      </c>
      <c r="G195" s="4" t="s">
        <v>25</v>
      </c>
      <c r="H195" s="4" t="s">
        <v>25</v>
      </c>
      <c r="I195" s="5">
        <v>44774</v>
      </c>
      <c r="J195" s="6">
        <v>0</v>
      </c>
      <c r="K195" s="6">
        <v>0</v>
      </c>
      <c r="L195" s="6">
        <v>10.305999999999999</v>
      </c>
      <c r="M195" s="6">
        <v>10.305999999999999</v>
      </c>
      <c r="N195" s="6">
        <v>10.305999999999999</v>
      </c>
      <c r="O195" s="6">
        <v>10.305999999999999</v>
      </c>
      <c r="P195" s="6">
        <v>74</v>
      </c>
      <c r="Q195" s="4" t="s">
        <v>26</v>
      </c>
      <c r="R195" s="4">
        <v>0</v>
      </c>
      <c r="S195" s="4" t="s">
        <v>184</v>
      </c>
      <c r="T195" s="4" t="s">
        <v>333</v>
      </c>
      <c r="U195" s="4">
        <v>0</v>
      </c>
      <c r="V195" s="4">
        <v>33</v>
      </c>
      <c r="W195" s="4">
        <v>84</v>
      </c>
    </row>
    <row r="196" spans="1:23" ht="11.25" customHeight="1" x14ac:dyDescent="0.3">
      <c r="A196" s="4" t="s">
        <v>21</v>
      </c>
      <c r="B196" s="4" t="s">
        <v>22</v>
      </c>
      <c r="C196" s="4" t="s">
        <v>23</v>
      </c>
      <c r="D196" s="4" t="s">
        <v>24</v>
      </c>
      <c r="E196" s="4" t="s">
        <v>31</v>
      </c>
      <c r="F196" s="4" t="s">
        <v>25</v>
      </c>
      <c r="G196" s="4" t="s">
        <v>25</v>
      </c>
      <c r="H196" s="4" t="s">
        <v>25</v>
      </c>
      <c r="I196" s="5">
        <v>44440</v>
      </c>
      <c r="J196" s="6">
        <v>0</v>
      </c>
      <c r="K196" s="6">
        <v>0</v>
      </c>
      <c r="L196" s="6">
        <v>7.3079999999999998</v>
      </c>
      <c r="M196" s="6">
        <v>7.3079999999999998</v>
      </c>
      <c r="N196" s="6">
        <v>7.3079999999999998</v>
      </c>
      <c r="O196" s="6">
        <v>7.3079999999999998</v>
      </c>
      <c r="P196" s="6">
        <v>88</v>
      </c>
      <c r="Q196" s="4" t="s">
        <v>26</v>
      </c>
      <c r="R196" s="4">
        <v>0</v>
      </c>
      <c r="S196" s="4" t="s">
        <v>185</v>
      </c>
      <c r="T196" s="4" t="s">
        <v>334</v>
      </c>
      <c r="U196" s="4">
        <v>0</v>
      </c>
      <c r="V196" s="4">
        <v>43</v>
      </c>
      <c r="W196" s="4">
        <v>74</v>
      </c>
    </row>
    <row r="197" spans="1:23" ht="11.25" customHeight="1" x14ac:dyDescent="0.3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31</v>
      </c>
      <c r="F197" s="4" t="s">
        <v>25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5.2969999999999997</v>
      </c>
      <c r="M197" s="6">
        <v>5.2969999999999997</v>
      </c>
      <c r="N197" s="6">
        <v>5.2969999999999997</v>
      </c>
      <c r="O197" s="6">
        <v>5.2969999999999997</v>
      </c>
      <c r="P197" s="6">
        <v>68</v>
      </c>
      <c r="Q197" s="4" t="s">
        <v>26</v>
      </c>
      <c r="R197" s="4">
        <v>0</v>
      </c>
      <c r="S197" s="4" t="s">
        <v>186</v>
      </c>
      <c r="T197" s="4" t="s">
        <v>335</v>
      </c>
      <c r="U197" s="4">
        <v>0</v>
      </c>
      <c r="V197" s="4">
        <v>43</v>
      </c>
      <c r="W197" s="4">
        <v>74</v>
      </c>
    </row>
    <row r="198" spans="1:23" ht="11.25" customHeight="1" x14ac:dyDescent="0.3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31</v>
      </c>
      <c r="F198" s="4" t="s">
        <v>25</v>
      </c>
      <c r="G198" s="4" t="s">
        <v>25</v>
      </c>
      <c r="H198" s="4" t="s">
        <v>25</v>
      </c>
      <c r="I198" s="5">
        <v>44470</v>
      </c>
      <c r="J198" s="6">
        <v>0</v>
      </c>
      <c r="K198" s="6">
        <v>0</v>
      </c>
      <c r="L198" s="6">
        <v>-2.4E-2</v>
      </c>
      <c r="M198" s="6">
        <v>-2.4E-2</v>
      </c>
      <c r="N198" s="6">
        <v>-2.4E-2</v>
      </c>
      <c r="O198" s="6">
        <v>-2.4E-2</v>
      </c>
      <c r="P198" s="6">
        <v>0</v>
      </c>
      <c r="Q198" s="4" t="s">
        <v>26</v>
      </c>
      <c r="R198" s="4">
        <v>0</v>
      </c>
      <c r="S198" s="4" t="s">
        <v>186</v>
      </c>
      <c r="T198" s="4" t="s">
        <v>335</v>
      </c>
      <c r="U198" s="4">
        <v>0</v>
      </c>
      <c r="V198" s="4">
        <v>43</v>
      </c>
      <c r="W198" s="4">
        <v>74</v>
      </c>
    </row>
    <row r="199" spans="1:23" ht="11.25" customHeight="1" x14ac:dyDescent="0.3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31</v>
      </c>
      <c r="F199" s="4" t="s">
        <v>25</v>
      </c>
      <c r="G199" s="4" t="s">
        <v>25</v>
      </c>
      <c r="H199" s="4" t="s">
        <v>25</v>
      </c>
      <c r="I199" s="5">
        <v>44501</v>
      </c>
      <c r="J199" s="6">
        <v>0</v>
      </c>
      <c r="K199" s="6">
        <v>0</v>
      </c>
      <c r="L199" s="6">
        <v>5.4630000000000001</v>
      </c>
      <c r="M199" s="6">
        <v>5.4630000000000001</v>
      </c>
      <c r="N199" s="6">
        <v>5.4630000000000001</v>
      </c>
      <c r="O199" s="6">
        <v>5.4630000000000001</v>
      </c>
      <c r="P199" s="6">
        <v>70</v>
      </c>
      <c r="Q199" s="4" t="s">
        <v>26</v>
      </c>
      <c r="R199" s="4">
        <v>0</v>
      </c>
      <c r="S199" s="4" t="s">
        <v>187</v>
      </c>
      <c r="T199" s="4" t="s">
        <v>336</v>
      </c>
      <c r="U199" s="4">
        <v>0</v>
      </c>
      <c r="V199" s="4">
        <v>43</v>
      </c>
      <c r="W199" s="4">
        <v>74</v>
      </c>
    </row>
    <row r="200" spans="1:23" ht="11.25" customHeight="1" x14ac:dyDescent="0.3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31</v>
      </c>
      <c r="F200" s="4" t="s">
        <v>25</v>
      </c>
      <c r="G200" s="4" t="s">
        <v>25</v>
      </c>
      <c r="H200" s="4" t="s">
        <v>25</v>
      </c>
      <c r="I200" s="5">
        <v>44531</v>
      </c>
      <c r="J200" s="6">
        <v>0</v>
      </c>
      <c r="K200" s="6">
        <v>0</v>
      </c>
      <c r="L200" s="6">
        <v>6.6680000000000001</v>
      </c>
      <c r="M200" s="6">
        <v>6.6680000000000001</v>
      </c>
      <c r="N200" s="6">
        <v>6.6680000000000001</v>
      </c>
      <c r="O200" s="6">
        <v>6.6680000000000001</v>
      </c>
      <c r="P200" s="6">
        <v>73</v>
      </c>
      <c r="Q200" s="4" t="s">
        <v>26</v>
      </c>
      <c r="R200" s="4">
        <v>0</v>
      </c>
      <c r="S200" s="4" t="s">
        <v>188</v>
      </c>
      <c r="T200" s="4" t="s">
        <v>337</v>
      </c>
      <c r="U200" s="4">
        <v>0</v>
      </c>
      <c r="V200" s="4">
        <v>43</v>
      </c>
      <c r="W200" s="4">
        <v>74</v>
      </c>
    </row>
    <row r="201" spans="1:23" ht="11.25" customHeight="1" x14ac:dyDescent="0.3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31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7.4980000000000002</v>
      </c>
      <c r="M201" s="6">
        <v>7.4980000000000002</v>
      </c>
      <c r="N201" s="6">
        <v>7.4980000000000002</v>
      </c>
      <c r="O201" s="6">
        <v>7.4980000000000002</v>
      </c>
      <c r="P201" s="6">
        <v>71</v>
      </c>
      <c r="Q201" s="4" t="s">
        <v>26</v>
      </c>
      <c r="R201" s="4">
        <v>0</v>
      </c>
      <c r="S201" s="4" t="s">
        <v>189</v>
      </c>
      <c r="T201" s="4" t="s">
        <v>338</v>
      </c>
      <c r="U201" s="4">
        <v>0</v>
      </c>
      <c r="V201" s="4">
        <v>43</v>
      </c>
      <c r="W201" s="4">
        <v>74</v>
      </c>
    </row>
    <row r="202" spans="1:23" ht="11.25" customHeight="1" x14ac:dyDescent="0.3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31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7.2069999999999999</v>
      </c>
      <c r="M202" s="6">
        <v>7.2069999999999999</v>
      </c>
      <c r="N202" s="6">
        <v>7.2069999999999999</v>
      </c>
      <c r="O202" s="6">
        <v>7.2069999999999999</v>
      </c>
      <c r="P202" s="6">
        <v>74</v>
      </c>
      <c r="Q202" s="4" t="s">
        <v>26</v>
      </c>
      <c r="R202" s="4">
        <v>0</v>
      </c>
      <c r="S202" s="4" t="s">
        <v>190</v>
      </c>
      <c r="T202" s="4" t="s">
        <v>339</v>
      </c>
      <c r="U202" s="4">
        <v>0</v>
      </c>
      <c r="V202" s="4">
        <v>43</v>
      </c>
      <c r="W202" s="4">
        <v>74</v>
      </c>
    </row>
    <row r="203" spans="1:23" ht="11.25" customHeight="1" x14ac:dyDescent="0.3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31</v>
      </c>
      <c r="F203" s="4" t="s">
        <v>25</v>
      </c>
      <c r="G203" s="4" t="s">
        <v>25</v>
      </c>
      <c r="H203" s="4" t="s">
        <v>25</v>
      </c>
      <c r="I203" s="5">
        <v>44621</v>
      </c>
      <c r="J203" s="6">
        <v>0</v>
      </c>
      <c r="K203" s="6">
        <v>0</v>
      </c>
      <c r="L203" s="6">
        <v>7.8490000000000002</v>
      </c>
      <c r="M203" s="6">
        <v>7.8490000000000002</v>
      </c>
      <c r="N203" s="6">
        <v>7.8490000000000002</v>
      </c>
      <c r="O203" s="6">
        <v>7.8490000000000002</v>
      </c>
      <c r="P203" s="6">
        <v>72</v>
      </c>
      <c r="Q203" s="4" t="s">
        <v>26</v>
      </c>
      <c r="R203" s="4">
        <v>0</v>
      </c>
      <c r="S203" s="4" t="s">
        <v>191</v>
      </c>
      <c r="T203" s="4" t="s">
        <v>340</v>
      </c>
      <c r="U203" s="4">
        <v>0</v>
      </c>
      <c r="V203" s="4">
        <v>43</v>
      </c>
      <c r="W203" s="4">
        <v>74</v>
      </c>
    </row>
    <row r="204" spans="1:23" ht="11.25" customHeight="1" x14ac:dyDescent="0.3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31</v>
      </c>
      <c r="F204" s="4" t="s">
        <v>25</v>
      </c>
      <c r="G204" s="4" t="s">
        <v>25</v>
      </c>
      <c r="H204" s="4" t="s">
        <v>25</v>
      </c>
      <c r="I204" s="5">
        <v>44652</v>
      </c>
      <c r="J204" s="6">
        <v>0</v>
      </c>
      <c r="K204" s="6">
        <v>0</v>
      </c>
      <c r="L204" s="6">
        <v>7.9470000000000001</v>
      </c>
      <c r="M204" s="6">
        <v>7.9470000000000001</v>
      </c>
      <c r="N204" s="6">
        <v>7.9470000000000001</v>
      </c>
      <c r="O204" s="6">
        <v>7.9470000000000001</v>
      </c>
      <c r="P204" s="6">
        <v>79</v>
      </c>
      <c r="Q204" s="4" t="s">
        <v>26</v>
      </c>
      <c r="R204" s="4">
        <v>0</v>
      </c>
      <c r="S204" s="4" t="s">
        <v>192</v>
      </c>
      <c r="T204" s="4" t="s">
        <v>341</v>
      </c>
      <c r="U204" s="4">
        <v>0</v>
      </c>
      <c r="V204" s="4">
        <v>43</v>
      </c>
      <c r="W204" s="4">
        <v>74</v>
      </c>
    </row>
    <row r="205" spans="1:23" ht="11.25" customHeight="1" x14ac:dyDescent="0.3">
      <c r="A205" s="4" t="s">
        <v>21</v>
      </c>
      <c r="B205" s="4" t="s">
        <v>22</v>
      </c>
      <c r="C205" s="4" t="s">
        <v>23</v>
      </c>
      <c r="D205" s="4" t="s">
        <v>24</v>
      </c>
      <c r="E205" s="4" t="s">
        <v>31</v>
      </c>
      <c r="F205" s="4" t="s">
        <v>25</v>
      </c>
      <c r="G205" s="4" t="s">
        <v>25</v>
      </c>
      <c r="H205" s="4" t="s">
        <v>25</v>
      </c>
      <c r="I205" s="5">
        <v>44682</v>
      </c>
      <c r="J205" s="6">
        <v>0</v>
      </c>
      <c r="K205" s="6">
        <v>0</v>
      </c>
      <c r="L205" s="6">
        <v>6.3929999999999998</v>
      </c>
      <c r="M205" s="6">
        <v>6.3929999999999998</v>
      </c>
      <c r="N205" s="6">
        <v>6.3929999999999998</v>
      </c>
      <c r="O205" s="6">
        <v>6.3929999999999998</v>
      </c>
      <c r="P205" s="6">
        <v>72</v>
      </c>
      <c r="Q205" s="4" t="s">
        <v>26</v>
      </c>
      <c r="R205" s="4">
        <v>0</v>
      </c>
      <c r="S205" s="4" t="s">
        <v>193</v>
      </c>
      <c r="T205" s="4" t="s">
        <v>342</v>
      </c>
      <c r="U205" s="4">
        <v>0</v>
      </c>
      <c r="V205" s="4">
        <v>43</v>
      </c>
      <c r="W205" s="4">
        <v>74</v>
      </c>
    </row>
    <row r="206" spans="1:23" ht="11.25" customHeight="1" x14ac:dyDescent="0.3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31</v>
      </c>
      <c r="F206" s="4" t="s">
        <v>25</v>
      </c>
      <c r="G206" s="4" t="s">
        <v>25</v>
      </c>
      <c r="H206" s="4" t="s">
        <v>25</v>
      </c>
      <c r="I206" s="5">
        <v>44713</v>
      </c>
      <c r="J206" s="6">
        <v>0</v>
      </c>
      <c r="K206" s="6">
        <v>0</v>
      </c>
      <c r="L206" s="6">
        <v>7.9829999999999997</v>
      </c>
      <c r="M206" s="6">
        <v>7.9829999999999997</v>
      </c>
      <c r="N206" s="6">
        <v>7.9829999999999997</v>
      </c>
      <c r="O206" s="6">
        <v>7.9829999999999997</v>
      </c>
      <c r="P206" s="6">
        <v>107</v>
      </c>
      <c r="Q206" s="4" t="s">
        <v>26</v>
      </c>
      <c r="R206" s="4">
        <v>0</v>
      </c>
      <c r="S206" s="4" t="s">
        <v>194</v>
      </c>
      <c r="T206" s="4" t="s">
        <v>343</v>
      </c>
      <c r="U206" s="4">
        <v>0</v>
      </c>
      <c r="V206" s="4">
        <v>43</v>
      </c>
      <c r="W206" s="4">
        <v>74</v>
      </c>
    </row>
    <row r="207" spans="1:23" ht="11.25" customHeight="1" x14ac:dyDescent="0.3">
      <c r="A207" s="4" t="s">
        <v>27</v>
      </c>
      <c r="B207" s="4" t="s">
        <v>22</v>
      </c>
      <c r="C207" s="4" t="s">
        <v>23</v>
      </c>
      <c r="D207" s="4" t="s">
        <v>24</v>
      </c>
      <c r="E207" s="4" t="s">
        <v>31</v>
      </c>
      <c r="F207" s="4" t="s">
        <v>25</v>
      </c>
      <c r="G207" s="4" t="s">
        <v>25</v>
      </c>
      <c r="H207" s="4" t="s">
        <v>25</v>
      </c>
      <c r="I207" s="5">
        <v>44713</v>
      </c>
      <c r="J207" s="6">
        <v>0</v>
      </c>
      <c r="K207" s="6">
        <v>0</v>
      </c>
      <c r="L207" s="6">
        <v>0.24</v>
      </c>
      <c r="M207" s="6">
        <v>0.24</v>
      </c>
      <c r="N207" s="6">
        <v>0.24</v>
      </c>
      <c r="O207" s="6">
        <v>0.24</v>
      </c>
      <c r="P207" s="6">
        <v>0</v>
      </c>
      <c r="Q207" s="4" t="s">
        <v>26</v>
      </c>
      <c r="R207" s="4">
        <v>0</v>
      </c>
      <c r="S207" s="4" t="s">
        <v>194</v>
      </c>
      <c r="T207" s="4" t="s">
        <v>343</v>
      </c>
      <c r="U207" s="4">
        <v>0</v>
      </c>
      <c r="V207" s="4">
        <v>43</v>
      </c>
      <c r="W207" s="4">
        <v>74</v>
      </c>
    </row>
    <row r="208" spans="1:23" ht="11.25" customHeight="1" x14ac:dyDescent="0.3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31</v>
      </c>
      <c r="F208" s="4" t="s">
        <v>25</v>
      </c>
      <c r="G208" s="4" t="s">
        <v>25</v>
      </c>
      <c r="H208" s="4" t="s">
        <v>25</v>
      </c>
      <c r="I208" s="5">
        <v>44743</v>
      </c>
      <c r="J208" s="6">
        <v>0</v>
      </c>
      <c r="K208" s="6">
        <v>0</v>
      </c>
      <c r="L208" s="6">
        <v>7.3650000000000002</v>
      </c>
      <c r="M208" s="6">
        <v>7.3650000000000002</v>
      </c>
      <c r="N208" s="6">
        <v>7.3650000000000002</v>
      </c>
      <c r="O208" s="6">
        <v>7.3650000000000002</v>
      </c>
      <c r="P208" s="6">
        <v>111</v>
      </c>
      <c r="Q208" s="4" t="s">
        <v>26</v>
      </c>
      <c r="R208" s="4">
        <v>0</v>
      </c>
      <c r="S208" s="4" t="s">
        <v>195</v>
      </c>
      <c r="T208" s="4" t="s">
        <v>344</v>
      </c>
      <c r="U208" s="4">
        <v>0</v>
      </c>
      <c r="V208" s="4">
        <v>43</v>
      </c>
      <c r="W208" s="4">
        <v>74</v>
      </c>
    </row>
    <row r="209" spans="1:23" ht="11.25" customHeight="1" x14ac:dyDescent="0.3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31</v>
      </c>
      <c r="F209" s="4" t="s">
        <v>25</v>
      </c>
      <c r="G209" s="4" t="s">
        <v>25</v>
      </c>
      <c r="H209" s="4" t="s">
        <v>25</v>
      </c>
      <c r="I209" s="5">
        <v>44774</v>
      </c>
      <c r="J209" s="6">
        <v>0</v>
      </c>
      <c r="K209" s="6">
        <v>0</v>
      </c>
      <c r="L209" s="6">
        <v>7.2119999999999997</v>
      </c>
      <c r="M209" s="6">
        <v>7.2119999999999997</v>
      </c>
      <c r="N209" s="6">
        <v>7.2119999999999997</v>
      </c>
      <c r="O209" s="6">
        <v>7.2119999999999997</v>
      </c>
      <c r="P209" s="6">
        <v>88</v>
      </c>
      <c r="Q209" s="4" t="s">
        <v>26</v>
      </c>
      <c r="R209" s="4">
        <v>0</v>
      </c>
      <c r="S209" s="4" t="s">
        <v>196</v>
      </c>
      <c r="T209" s="4" t="s">
        <v>345</v>
      </c>
      <c r="U209" s="4">
        <v>0</v>
      </c>
      <c r="V209" s="4">
        <v>43</v>
      </c>
      <c r="W209" s="4">
        <v>74</v>
      </c>
    </row>
    <row r="210" spans="1:23" ht="11.25" customHeight="1" x14ac:dyDescent="0.3">
      <c r="A210" s="4" t="s">
        <v>21</v>
      </c>
      <c r="B210" s="4" t="s">
        <v>22</v>
      </c>
      <c r="C210" s="4" t="s">
        <v>23</v>
      </c>
      <c r="D210" s="4" t="s">
        <v>24</v>
      </c>
      <c r="E210" s="4" t="s">
        <v>32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0.19500000000000001</v>
      </c>
      <c r="M210" s="6">
        <v>0.19500000000000001</v>
      </c>
      <c r="N210" s="6">
        <v>0.19500000000000001</v>
      </c>
      <c r="O210" s="6">
        <v>0.19500000000000001</v>
      </c>
      <c r="P210" s="6">
        <v>3</v>
      </c>
      <c r="Q210" s="4" t="s">
        <v>26</v>
      </c>
      <c r="R210" s="4">
        <v>0</v>
      </c>
      <c r="S210" s="4" t="s">
        <v>197</v>
      </c>
      <c r="T210" s="4" t="s">
        <v>346</v>
      </c>
      <c r="U210" s="4">
        <v>0</v>
      </c>
      <c r="V210" s="4">
        <v>48</v>
      </c>
      <c r="W210" s="4">
        <v>71</v>
      </c>
    </row>
    <row r="211" spans="1:23" ht="11.25" customHeight="1" x14ac:dyDescent="0.3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32</v>
      </c>
      <c r="F211" s="4" t="s">
        <v>25</v>
      </c>
      <c r="G211" s="4" t="s">
        <v>25</v>
      </c>
      <c r="H211" s="4" t="s">
        <v>25</v>
      </c>
      <c r="I211" s="5">
        <v>44470</v>
      </c>
      <c r="J211" s="6">
        <v>0</v>
      </c>
      <c r="K211" s="6">
        <v>0</v>
      </c>
      <c r="L211" s="6">
        <v>1.1439999999999999</v>
      </c>
      <c r="M211" s="6">
        <v>1.1439999999999999</v>
      </c>
      <c r="N211" s="6">
        <v>1.1439999999999999</v>
      </c>
      <c r="O211" s="6">
        <v>1.1439999999999999</v>
      </c>
      <c r="P211" s="6">
        <v>14</v>
      </c>
      <c r="Q211" s="4" t="s">
        <v>26</v>
      </c>
      <c r="R211" s="4">
        <v>0</v>
      </c>
      <c r="S211" s="4" t="s">
        <v>198</v>
      </c>
      <c r="T211" s="4" t="s">
        <v>347</v>
      </c>
      <c r="U211" s="4">
        <v>0</v>
      </c>
      <c r="V211" s="4">
        <v>48</v>
      </c>
      <c r="W211" s="4">
        <v>71</v>
      </c>
    </row>
    <row r="212" spans="1:23" ht="11.25" customHeight="1" x14ac:dyDescent="0.3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32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-0.23</v>
      </c>
      <c r="M212" s="6">
        <v>-0.23</v>
      </c>
      <c r="N212" s="6">
        <v>-0.23</v>
      </c>
      <c r="O212" s="6">
        <v>-0.23</v>
      </c>
      <c r="P212" s="6">
        <v>0</v>
      </c>
      <c r="Q212" s="4" t="s">
        <v>26</v>
      </c>
      <c r="R212" s="4">
        <v>0</v>
      </c>
      <c r="S212" s="4" t="s">
        <v>198</v>
      </c>
      <c r="T212" s="4" t="s">
        <v>347</v>
      </c>
      <c r="U212" s="4">
        <v>0</v>
      </c>
      <c r="V212" s="4">
        <v>48</v>
      </c>
      <c r="W212" s="4">
        <v>71</v>
      </c>
    </row>
    <row r="213" spans="1:23" ht="11.25" customHeight="1" x14ac:dyDescent="0.3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32</v>
      </c>
      <c r="F213" s="4" t="s">
        <v>25</v>
      </c>
      <c r="G213" s="4" t="s">
        <v>25</v>
      </c>
      <c r="H213" s="4" t="s">
        <v>25</v>
      </c>
      <c r="I213" s="5">
        <v>44501</v>
      </c>
      <c r="J213" s="6">
        <v>0</v>
      </c>
      <c r="K213" s="6">
        <v>0</v>
      </c>
      <c r="L213" s="6">
        <v>1.03</v>
      </c>
      <c r="M213" s="6">
        <v>1.03</v>
      </c>
      <c r="N213" s="6">
        <v>1.03</v>
      </c>
      <c r="O213" s="6">
        <v>1.03</v>
      </c>
      <c r="P213" s="6">
        <v>18</v>
      </c>
      <c r="Q213" s="4" t="s">
        <v>26</v>
      </c>
      <c r="R213" s="4">
        <v>0</v>
      </c>
      <c r="S213" s="4" t="s">
        <v>199</v>
      </c>
      <c r="T213" s="4" t="s">
        <v>348</v>
      </c>
      <c r="U213" s="4">
        <v>0</v>
      </c>
      <c r="V213" s="4">
        <v>48</v>
      </c>
      <c r="W213" s="4">
        <v>71</v>
      </c>
    </row>
    <row r="214" spans="1:23" ht="11.25" customHeight="1" x14ac:dyDescent="0.3">
      <c r="A214" s="4" t="s">
        <v>21</v>
      </c>
      <c r="B214" s="4" t="s">
        <v>22</v>
      </c>
      <c r="C214" s="4" t="s">
        <v>23</v>
      </c>
      <c r="D214" s="4" t="s">
        <v>24</v>
      </c>
      <c r="E214" s="4" t="s">
        <v>32</v>
      </c>
      <c r="F214" s="4" t="s">
        <v>25</v>
      </c>
      <c r="G214" s="4" t="s">
        <v>25</v>
      </c>
      <c r="H214" s="4" t="s">
        <v>25</v>
      </c>
      <c r="I214" s="5">
        <v>44531</v>
      </c>
      <c r="J214" s="6">
        <v>0</v>
      </c>
      <c r="K214" s="6">
        <v>0</v>
      </c>
      <c r="L214" s="6">
        <v>1.5940000000000001</v>
      </c>
      <c r="M214" s="6">
        <v>1.5940000000000001</v>
      </c>
      <c r="N214" s="6">
        <v>1.5940000000000001</v>
      </c>
      <c r="O214" s="6">
        <v>1.5940000000000001</v>
      </c>
      <c r="P214" s="6">
        <v>22</v>
      </c>
      <c r="Q214" s="4" t="s">
        <v>26</v>
      </c>
      <c r="R214" s="4">
        <v>0</v>
      </c>
      <c r="S214" s="4" t="s">
        <v>200</v>
      </c>
      <c r="T214" s="4" t="s">
        <v>349</v>
      </c>
      <c r="U214" s="4">
        <v>0</v>
      </c>
      <c r="V214" s="4">
        <v>48</v>
      </c>
      <c r="W214" s="4">
        <v>71</v>
      </c>
    </row>
    <row r="215" spans="1:23" ht="11.25" customHeight="1" x14ac:dyDescent="0.3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32</v>
      </c>
      <c r="F215" s="4" t="s">
        <v>25</v>
      </c>
      <c r="G215" s="4" t="s">
        <v>25</v>
      </c>
      <c r="H215" s="4" t="s">
        <v>25</v>
      </c>
      <c r="I215" s="5">
        <v>44562</v>
      </c>
      <c r="J215" s="6">
        <v>0</v>
      </c>
      <c r="K215" s="6">
        <v>0</v>
      </c>
      <c r="L215" s="6">
        <v>2.44</v>
      </c>
      <c r="M215" s="6">
        <v>2.44</v>
      </c>
      <c r="N215" s="6">
        <v>2.44</v>
      </c>
      <c r="O215" s="6">
        <v>2.44</v>
      </c>
      <c r="P215" s="6">
        <v>29</v>
      </c>
      <c r="Q215" s="4" t="s">
        <v>26</v>
      </c>
      <c r="R215" s="4">
        <v>0</v>
      </c>
      <c r="S215" s="4" t="s">
        <v>201</v>
      </c>
      <c r="T215" s="4" t="s">
        <v>350</v>
      </c>
      <c r="U215" s="4">
        <v>0</v>
      </c>
      <c r="V215" s="4">
        <v>48</v>
      </c>
      <c r="W215" s="4">
        <v>71</v>
      </c>
    </row>
    <row r="216" spans="1:23" ht="11.25" customHeight="1" x14ac:dyDescent="0.3">
      <c r="A216" s="4" t="s">
        <v>21</v>
      </c>
      <c r="B216" s="4" t="s">
        <v>22</v>
      </c>
      <c r="C216" s="4" t="s">
        <v>23</v>
      </c>
      <c r="D216" s="4" t="s">
        <v>24</v>
      </c>
      <c r="E216" s="4" t="s">
        <v>32</v>
      </c>
      <c r="F216" s="4" t="s">
        <v>25</v>
      </c>
      <c r="G216" s="4" t="s">
        <v>25</v>
      </c>
      <c r="H216" s="4" t="s">
        <v>25</v>
      </c>
      <c r="I216" s="5">
        <v>44593</v>
      </c>
      <c r="J216" s="6">
        <v>0</v>
      </c>
      <c r="K216" s="6">
        <v>0</v>
      </c>
      <c r="L216" s="6">
        <v>2.125</v>
      </c>
      <c r="M216" s="6">
        <v>2.125</v>
      </c>
      <c r="N216" s="6">
        <v>2.125</v>
      </c>
      <c r="O216" s="6">
        <v>2.125</v>
      </c>
      <c r="P216" s="6">
        <v>26</v>
      </c>
      <c r="Q216" s="4" t="s">
        <v>26</v>
      </c>
      <c r="R216" s="4">
        <v>0</v>
      </c>
      <c r="S216" s="4" t="s">
        <v>202</v>
      </c>
      <c r="T216" s="4" t="s">
        <v>351</v>
      </c>
      <c r="U216" s="4">
        <v>0</v>
      </c>
      <c r="V216" s="4">
        <v>48</v>
      </c>
      <c r="W216" s="4">
        <v>71</v>
      </c>
    </row>
    <row r="217" spans="1:23" ht="11.25" customHeight="1" x14ac:dyDescent="0.3">
      <c r="A217" s="4" t="s">
        <v>21</v>
      </c>
      <c r="B217" s="4" t="s">
        <v>22</v>
      </c>
      <c r="C217" s="4" t="s">
        <v>23</v>
      </c>
      <c r="D217" s="4" t="s">
        <v>24</v>
      </c>
      <c r="E217" s="4" t="s">
        <v>32</v>
      </c>
      <c r="F217" s="4" t="s">
        <v>25</v>
      </c>
      <c r="G217" s="4" t="s">
        <v>25</v>
      </c>
      <c r="H217" s="4" t="s">
        <v>25</v>
      </c>
      <c r="I217" s="5">
        <v>44621</v>
      </c>
      <c r="J217" s="6">
        <v>0</v>
      </c>
      <c r="K217" s="6">
        <v>0</v>
      </c>
      <c r="L217" s="6">
        <v>2.6110000000000002</v>
      </c>
      <c r="M217" s="6">
        <v>2.6110000000000002</v>
      </c>
      <c r="N217" s="6">
        <v>2.6110000000000002</v>
      </c>
      <c r="O217" s="6">
        <v>2.6110000000000002</v>
      </c>
      <c r="P217" s="6">
        <v>32</v>
      </c>
      <c r="Q217" s="4" t="s">
        <v>26</v>
      </c>
      <c r="R217" s="4">
        <v>0</v>
      </c>
      <c r="S217" s="4" t="s">
        <v>203</v>
      </c>
      <c r="T217" s="4" t="s">
        <v>352</v>
      </c>
      <c r="U217" s="4">
        <v>0</v>
      </c>
      <c r="V217" s="4">
        <v>48</v>
      </c>
      <c r="W217" s="4">
        <v>71</v>
      </c>
    </row>
    <row r="218" spans="1:23" ht="11.25" customHeight="1" x14ac:dyDescent="0.3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32</v>
      </c>
      <c r="F218" s="4" t="s">
        <v>25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2.0590000000000002</v>
      </c>
      <c r="M218" s="6">
        <v>2.0590000000000002</v>
      </c>
      <c r="N218" s="6">
        <v>2.0590000000000002</v>
      </c>
      <c r="O218" s="6">
        <v>2.0590000000000002</v>
      </c>
      <c r="P218" s="6">
        <v>26</v>
      </c>
      <c r="Q218" s="4" t="s">
        <v>26</v>
      </c>
      <c r="R218" s="4">
        <v>0</v>
      </c>
      <c r="S218" s="4" t="s">
        <v>204</v>
      </c>
      <c r="T218" s="4" t="s">
        <v>353</v>
      </c>
      <c r="U218" s="4">
        <v>0</v>
      </c>
      <c r="V218" s="4">
        <v>48</v>
      </c>
      <c r="W218" s="4">
        <v>71</v>
      </c>
    </row>
    <row r="219" spans="1:23" ht="11.25" customHeight="1" x14ac:dyDescent="0.3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32</v>
      </c>
      <c r="F219" s="4" t="s">
        <v>25</v>
      </c>
      <c r="G219" s="4" t="s">
        <v>25</v>
      </c>
      <c r="H219" s="4" t="s">
        <v>25</v>
      </c>
      <c r="I219" s="5">
        <v>44682</v>
      </c>
      <c r="J219" s="6">
        <v>0</v>
      </c>
      <c r="K219" s="6">
        <v>0</v>
      </c>
      <c r="L219" s="6">
        <v>1.4379999999999999</v>
      </c>
      <c r="M219" s="6">
        <v>1.4379999999999999</v>
      </c>
      <c r="N219" s="6">
        <v>1.4379999999999999</v>
      </c>
      <c r="O219" s="6">
        <v>1.4379999999999999</v>
      </c>
      <c r="P219" s="6">
        <v>24</v>
      </c>
      <c r="Q219" s="4" t="s">
        <v>26</v>
      </c>
      <c r="R219" s="4">
        <v>0</v>
      </c>
      <c r="S219" s="4" t="s">
        <v>205</v>
      </c>
      <c r="T219" s="4" t="s">
        <v>354</v>
      </c>
      <c r="U219" s="4">
        <v>0</v>
      </c>
      <c r="V219" s="4">
        <v>48</v>
      </c>
      <c r="W219" s="4">
        <v>71</v>
      </c>
    </row>
    <row r="220" spans="1:23" ht="11.25" customHeight="1" x14ac:dyDescent="0.3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32</v>
      </c>
      <c r="F220" s="4" t="s">
        <v>25</v>
      </c>
      <c r="G220" s="4" t="s">
        <v>25</v>
      </c>
      <c r="H220" s="4" t="s">
        <v>25</v>
      </c>
      <c r="I220" s="5">
        <v>44713</v>
      </c>
      <c r="J220" s="6">
        <v>0</v>
      </c>
      <c r="K220" s="6">
        <v>0</v>
      </c>
      <c r="L220" s="6">
        <v>1.7869999999999999</v>
      </c>
      <c r="M220" s="6">
        <v>1.7869999999999999</v>
      </c>
      <c r="N220" s="6">
        <v>1.7869999999999999</v>
      </c>
      <c r="O220" s="6">
        <v>1.7869999999999999</v>
      </c>
      <c r="P220" s="6">
        <v>19</v>
      </c>
      <c r="Q220" s="4" t="s">
        <v>26</v>
      </c>
      <c r="R220" s="4">
        <v>0</v>
      </c>
      <c r="S220" s="4" t="s">
        <v>206</v>
      </c>
      <c r="T220" s="4" t="s">
        <v>355</v>
      </c>
      <c r="U220" s="4">
        <v>0</v>
      </c>
      <c r="V220" s="4">
        <v>48</v>
      </c>
      <c r="W220" s="4">
        <v>71</v>
      </c>
    </row>
    <row r="221" spans="1:23" ht="11.25" customHeight="1" x14ac:dyDescent="0.3">
      <c r="A221" s="4" t="s">
        <v>27</v>
      </c>
      <c r="B221" s="4" t="s">
        <v>22</v>
      </c>
      <c r="C221" s="4" t="s">
        <v>23</v>
      </c>
      <c r="D221" s="4" t="s">
        <v>24</v>
      </c>
      <c r="E221" s="4" t="s">
        <v>32</v>
      </c>
      <c r="F221" s="4" t="s">
        <v>25</v>
      </c>
      <c r="G221" s="4" t="s">
        <v>25</v>
      </c>
      <c r="H221" s="4" t="s">
        <v>25</v>
      </c>
      <c r="I221" s="5">
        <v>44713</v>
      </c>
      <c r="J221" s="6">
        <v>0</v>
      </c>
      <c r="K221" s="6">
        <v>0</v>
      </c>
      <c r="L221" s="6">
        <v>0.436</v>
      </c>
      <c r="M221" s="6">
        <v>0.436</v>
      </c>
      <c r="N221" s="6">
        <v>0.436</v>
      </c>
      <c r="O221" s="6">
        <v>0.436</v>
      </c>
      <c r="P221" s="6">
        <v>0</v>
      </c>
      <c r="Q221" s="4" t="s">
        <v>26</v>
      </c>
      <c r="R221" s="4">
        <v>0</v>
      </c>
      <c r="S221" s="4" t="s">
        <v>206</v>
      </c>
      <c r="T221" s="4" t="s">
        <v>355</v>
      </c>
      <c r="U221" s="4">
        <v>0</v>
      </c>
      <c r="V221" s="4">
        <v>48</v>
      </c>
      <c r="W221" s="4">
        <v>71</v>
      </c>
    </row>
    <row r="222" spans="1:23" ht="11.25" customHeight="1" x14ac:dyDescent="0.3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32</v>
      </c>
      <c r="F222" s="4" t="s">
        <v>25</v>
      </c>
      <c r="G222" s="4" t="s">
        <v>25</v>
      </c>
      <c r="H222" s="4" t="s">
        <v>25</v>
      </c>
      <c r="I222" s="5">
        <v>44743</v>
      </c>
      <c r="J222" s="6">
        <v>0</v>
      </c>
      <c r="K222" s="6">
        <v>0</v>
      </c>
      <c r="L222" s="6">
        <v>1.2589999999999999</v>
      </c>
      <c r="M222" s="6">
        <v>1.2589999999999999</v>
      </c>
      <c r="N222" s="6">
        <v>1.2589999999999999</v>
      </c>
      <c r="O222" s="6">
        <v>1.2589999999999999</v>
      </c>
      <c r="P222" s="6">
        <v>16</v>
      </c>
      <c r="Q222" s="4" t="s">
        <v>26</v>
      </c>
      <c r="R222" s="4">
        <v>0</v>
      </c>
      <c r="S222" s="4" t="s">
        <v>207</v>
      </c>
      <c r="T222" s="4" t="s">
        <v>356</v>
      </c>
      <c r="U222" s="4">
        <v>0</v>
      </c>
      <c r="V222" s="4">
        <v>48</v>
      </c>
      <c r="W222" s="4">
        <v>71</v>
      </c>
    </row>
    <row r="223" spans="1:23" ht="11.25" customHeight="1" x14ac:dyDescent="0.3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32</v>
      </c>
      <c r="F223" s="4" t="s">
        <v>25</v>
      </c>
      <c r="G223" s="4" t="s">
        <v>25</v>
      </c>
      <c r="H223" s="4" t="s">
        <v>25</v>
      </c>
      <c r="I223" s="5">
        <v>44774</v>
      </c>
      <c r="J223" s="6">
        <v>0</v>
      </c>
      <c r="K223" s="6">
        <v>0</v>
      </c>
      <c r="L223" s="6">
        <v>1.1619999999999999</v>
      </c>
      <c r="M223" s="6">
        <v>1.1619999999999999</v>
      </c>
      <c r="N223" s="6">
        <v>1.1619999999999999</v>
      </c>
      <c r="O223" s="6">
        <v>1.1619999999999999</v>
      </c>
      <c r="P223" s="6">
        <v>20</v>
      </c>
      <c r="Q223" s="4" t="s">
        <v>26</v>
      </c>
      <c r="R223" s="4">
        <v>0</v>
      </c>
      <c r="S223" s="4" t="s">
        <v>208</v>
      </c>
      <c r="T223" s="4" t="s">
        <v>357</v>
      </c>
      <c r="U223" s="4">
        <v>0</v>
      </c>
      <c r="V223" s="4">
        <v>48</v>
      </c>
      <c r="W223" s="4">
        <v>71</v>
      </c>
    </row>
    <row r="224" spans="1:23" ht="11.25" customHeight="1" x14ac:dyDescent="0.3">
      <c r="A224" s="4" t="s">
        <v>21</v>
      </c>
      <c r="B224" s="4" t="s">
        <v>41</v>
      </c>
      <c r="C224" s="4" t="s">
        <v>23</v>
      </c>
      <c r="D224" s="4" t="s">
        <v>42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44440</v>
      </c>
      <c r="J224" s="6">
        <v>0</v>
      </c>
      <c r="K224" s="6">
        <v>0</v>
      </c>
      <c r="L224" s="6">
        <v>108.533</v>
      </c>
      <c r="M224" s="6">
        <v>108.533</v>
      </c>
      <c r="N224" s="6">
        <v>108.533</v>
      </c>
      <c r="O224" s="6">
        <v>108.533</v>
      </c>
      <c r="P224" s="6">
        <v>329</v>
      </c>
      <c r="Q224" s="4" t="s">
        <v>26</v>
      </c>
      <c r="R224" s="4">
        <v>0</v>
      </c>
      <c r="S224" s="4" t="s">
        <v>209</v>
      </c>
      <c r="T224" s="4" t="s">
        <v>358</v>
      </c>
      <c r="U224" s="4">
        <v>0</v>
      </c>
      <c r="V224" s="4">
        <v>39</v>
      </c>
      <c r="W224" s="4">
        <v>10</v>
      </c>
    </row>
    <row r="225" spans="1:23" ht="11.25" customHeight="1" x14ac:dyDescent="0.3">
      <c r="A225" s="4" t="s">
        <v>28</v>
      </c>
      <c r="B225" s="4" t="s">
        <v>41</v>
      </c>
      <c r="C225" s="4" t="s">
        <v>23</v>
      </c>
      <c r="D225" s="4" t="s">
        <v>42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44440</v>
      </c>
      <c r="J225" s="6">
        <v>0</v>
      </c>
      <c r="K225" s="6">
        <v>0</v>
      </c>
      <c r="L225" s="6">
        <v>0.42399999999999999</v>
      </c>
      <c r="M225" s="6">
        <v>0.42399999999999999</v>
      </c>
      <c r="N225" s="6">
        <v>0.42399999999999999</v>
      </c>
      <c r="O225" s="6">
        <v>0.42399999999999999</v>
      </c>
      <c r="P225" s="6">
        <v>3</v>
      </c>
      <c r="Q225" s="4" t="s">
        <v>26</v>
      </c>
      <c r="R225" s="4">
        <v>0</v>
      </c>
      <c r="S225" s="4" t="s">
        <v>209</v>
      </c>
      <c r="T225" s="4" t="s">
        <v>358</v>
      </c>
      <c r="U225" s="4">
        <v>0</v>
      </c>
      <c r="V225" s="4">
        <v>39</v>
      </c>
      <c r="W225" s="4">
        <v>10</v>
      </c>
    </row>
    <row r="226" spans="1:23" ht="11.25" customHeight="1" x14ac:dyDescent="0.3">
      <c r="A226" s="4" t="s">
        <v>21</v>
      </c>
      <c r="B226" s="4" t="s">
        <v>41</v>
      </c>
      <c r="C226" s="4" t="s">
        <v>23</v>
      </c>
      <c r="D226" s="4" t="s">
        <v>42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44470</v>
      </c>
      <c r="J226" s="6">
        <v>0</v>
      </c>
      <c r="K226" s="6">
        <v>0</v>
      </c>
      <c r="L226" s="6">
        <v>105.29</v>
      </c>
      <c r="M226" s="6">
        <v>105.29</v>
      </c>
      <c r="N226" s="6">
        <v>105.29</v>
      </c>
      <c r="O226" s="6">
        <v>105.29</v>
      </c>
      <c r="P226" s="6">
        <v>334</v>
      </c>
      <c r="Q226" s="4" t="s">
        <v>26</v>
      </c>
      <c r="R226" s="4">
        <v>0</v>
      </c>
      <c r="S226" s="4" t="s">
        <v>210</v>
      </c>
      <c r="T226" s="4" t="s">
        <v>359</v>
      </c>
      <c r="U226" s="4">
        <v>0</v>
      </c>
      <c r="V226" s="4">
        <v>39</v>
      </c>
      <c r="W226" s="4">
        <v>10</v>
      </c>
    </row>
    <row r="227" spans="1:23" ht="11.25" customHeight="1" x14ac:dyDescent="0.3">
      <c r="A227" s="4" t="s">
        <v>27</v>
      </c>
      <c r="B227" s="4" t="s">
        <v>41</v>
      </c>
      <c r="C227" s="4" t="s">
        <v>23</v>
      </c>
      <c r="D227" s="4" t="s">
        <v>42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44470</v>
      </c>
      <c r="J227" s="6">
        <v>0</v>
      </c>
      <c r="K227" s="6">
        <v>0</v>
      </c>
      <c r="L227" s="6">
        <v>-0.44600000000000001</v>
      </c>
      <c r="M227" s="6">
        <v>-0.44600000000000001</v>
      </c>
      <c r="N227" s="6">
        <v>-0.44600000000000001</v>
      </c>
      <c r="O227" s="6">
        <v>-0.44600000000000001</v>
      </c>
      <c r="P227" s="6">
        <v>0</v>
      </c>
      <c r="Q227" s="4" t="s">
        <v>26</v>
      </c>
      <c r="R227" s="4">
        <v>0</v>
      </c>
      <c r="S227" s="4" t="s">
        <v>210</v>
      </c>
      <c r="T227" s="4" t="s">
        <v>359</v>
      </c>
      <c r="U227" s="4">
        <v>0</v>
      </c>
      <c r="V227" s="4">
        <v>39</v>
      </c>
      <c r="W227" s="4">
        <v>10</v>
      </c>
    </row>
    <row r="228" spans="1:23" ht="11.25" customHeight="1" x14ac:dyDescent="0.3">
      <c r="A228" s="4" t="s">
        <v>28</v>
      </c>
      <c r="B228" s="4" t="s">
        <v>41</v>
      </c>
      <c r="C228" s="4" t="s">
        <v>23</v>
      </c>
      <c r="D228" s="4" t="s">
        <v>42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44470</v>
      </c>
      <c r="J228" s="6">
        <v>0</v>
      </c>
      <c r="K228" s="6">
        <v>0</v>
      </c>
      <c r="L228" s="6">
        <v>1.4690000000000001</v>
      </c>
      <c r="M228" s="6">
        <v>1.4690000000000001</v>
      </c>
      <c r="N228" s="6">
        <v>1.4690000000000001</v>
      </c>
      <c r="O228" s="6">
        <v>1.4690000000000001</v>
      </c>
      <c r="P228" s="6">
        <v>3</v>
      </c>
      <c r="Q228" s="4" t="s">
        <v>26</v>
      </c>
      <c r="R228" s="4">
        <v>0</v>
      </c>
      <c r="S228" s="4" t="s">
        <v>210</v>
      </c>
      <c r="T228" s="4" t="s">
        <v>359</v>
      </c>
      <c r="U228" s="4">
        <v>0</v>
      </c>
      <c r="V228" s="4">
        <v>39</v>
      </c>
      <c r="W228" s="4">
        <v>10</v>
      </c>
    </row>
    <row r="229" spans="1:23" ht="11.25" customHeight="1" x14ac:dyDescent="0.3">
      <c r="A229" s="4" t="s">
        <v>21</v>
      </c>
      <c r="B229" s="4" t="s">
        <v>41</v>
      </c>
      <c r="C229" s="4" t="s">
        <v>23</v>
      </c>
      <c r="D229" s="4" t="s">
        <v>42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44501</v>
      </c>
      <c r="J229" s="6">
        <v>0</v>
      </c>
      <c r="K229" s="6">
        <v>0</v>
      </c>
      <c r="L229" s="6">
        <v>111.015</v>
      </c>
      <c r="M229" s="6">
        <v>111.015</v>
      </c>
      <c r="N229" s="6">
        <v>111.015</v>
      </c>
      <c r="O229" s="6">
        <v>111.015</v>
      </c>
      <c r="P229" s="6">
        <v>331</v>
      </c>
      <c r="Q229" s="4" t="s">
        <v>26</v>
      </c>
      <c r="R229" s="4">
        <v>0</v>
      </c>
      <c r="S229" s="4" t="s">
        <v>211</v>
      </c>
      <c r="T229" s="4" t="s">
        <v>360</v>
      </c>
      <c r="U229" s="4">
        <v>0</v>
      </c>
      <c r="V229" s="4">
        <v>39</v>
      </c>
      <c r="W229" s="4">
        <v>10</v>
      </c>
    </row>
    <row r="230" spans="1:23" ht="11.25" customHeight="1" x14ac:dyDescent="0.3">
      <c r="A230" s="4" t="s">
        <v>28</v>
      </c>
      <c r="B230" s="4" t="s">
        <v>41</v>
      </c>
      <c r="C230" s="4" t="s">
        <v>23</v>
      </c>
      <c r="D230" s="4" t="s">
        <v>42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44501</v>
      </c>
      <c r="J230" s="6">
        <v>0</v>
      </c>
      <c r="K230" s="6">
        <v>0</v>
      </c>
      <c r="L230" s="6">
        <v>0.28299999999999997</v>
      </c>
      <c r="M230" s="6">
        <v>0.28299999999999997</v>
      </c>
      <c r="N230" s="6">
        <v>0.28299999999999997</v>
      </c>
      <c r="O230" s="6">
        <v>0.28299999999999997</v>
      </c>
      <c r="P230" s="6">
        <v>3</v>
      </c>
      <c r="Q230" s="4" t="s">
        <v>26</v>
      </c>
      <c r="R230" s="4">
        <v>0</v>
      </c>
      <c r="S230" s="4" t="s">
        <v>211</v>
      </c>
      <c r="T230" s="4" t="s">
        <v>360</v>
      </c>
      <c r="U230" s="4">
        <v>0</v>
      </c>
      <c r="V230" s="4">
        <v>39</v>
      </c>
      <c r="W230" s="4">
        <v>10</v>
      </c>
    </row>
    <row r="231" spans="1:23" ht="11.25" customHeight="1" x14ac:dyDescent="0.3">
      <c r="A231" s="4" t="s">
        <v>21</v>
      </c>
      <c r="B231" s="4" t="s">
        <v>41</v>
      </c>
      <c r="C231" s="4" t="s">
        <v>23</v>
      </c>
      <c r="D231" s="4" t="s">
        <v>42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44531</v>
      </c>
      <c r="J231" s="6">
        <v>0</v>
      </c>
      <c r="K231" s="6">
        <v>0</v>
      </c>
      <c r="L231" s="6">
        <v>115.242</v>
      </c>
      <c r="M231" s="6">
        <v>115.242</v>
      </c>
      <c r="N231" s="6">
        <v>115.242</v>
      </c>
      <c r="O231" s="6">
        <v>115.242</v>
      </c>
      <c r="P231" s="6">
        <v>333</v>
      </c>
      <c r="Q231" s="4" t="s">
        <v>26</v>
      </c>
      <c r="R231" s="4">
        <v>0</v>
      </c>
      <c r="S231" s="4" t="s">
        <v>212</v>
      </c>
      <c r="T231" s="4" t="s">
        <v>361</v>
      </c>
      <c r="U231" s="4">
        <v>0</v>
      </c>
      <c r="V231" s="4">
        <v>39</v>
      </c>
      <c r="W231" s="4">
        <v>10</v>
      </c>
    </row>
    <row r="232" spans="1:23" ht="11.25" customHeight="1" x14ac:dyDescent="0.3">
      <c r="A232" s="4" t="s">
        <v>28</v>
      </c>
      <c r="B232" s="4" t="s">
        <v>41</v>
      </c>
      <c r="C232" s="4" t="s">
        <v>23</v>
      </c>
      <c r="D232" s="4" t="s">
        <v>42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44531</v>
      </c>
      <c r="J232" s="6">
        <v>0</v>
      </c>
      <c r="K232" s="6">
        <v>0</v>
      </c>
      <c r="L232" s="6">
        <v>1.2270000000000001</v>
      </c>
      <c r="M232" s="6">
        <v>1.2270000000000001</v>
      </c>
      <c r="N232" s="6">
        <v>1.2270000000000001</v>
      </c>
      <c r="O232" s="6">
        <v>1.2270000000000001</v>
      </c>
      <c r="P232" s="6">
        <v>3</v>
      </c>
      <c r="Q232" s="4" t="s">
        <v>26</v>
      </c>
      <c r="R232" s="4">
        <v>0</v>
      </c>
      <c r="S232" s="4" t="s">
        <v>212</v>
      </c>
      <c r="T232" s="4" t="s">
        <v>361</v>
      </c>
      <c r="U232" s="4">
        <v>0</v>
      </c>
      <c r="V232" s="4">
        <v>39</v>
      </c>
      <c r="W232" s="4">
        <v>10</v>
      </c>
    </row>
    <row r="233" spans="1:23" ht="11.25" customHeight="1" x14ac:dyDescent="0.3">
      <c r="A233" s="4" t="s">
        <v>21</v>
      </c>
      <c r="B233" s="4" t="s">
        <v>41</v>
      </c>
      <c r="C233" s="4" t="s">
        <v>23</v>
      </c>
      <c r="D233" s="4" t="s">
        <v>42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44562</v>
      </c>
      <c r="J233" s="6">
        <v>0</v>
      </c>
      <c r="K233" s="6">
        <v>0</v>
      </c>
      <c r="L233" s="6">
        <v>132.32300000000001</v>
      </c>
      <c r="M233" s="6">
        <v>132.32300000000001</v>
      </c>
      <c r="N233" s="6">
        <v>132.32300000000001</v>
      </c>
      <c r="O233" s="6">
        <v>132.32300000000001</v>
      </c>
      <c r="P233" s="6">
        <v>334</v>
      </c>
      <c r="Q233" s="4" t="s">
        <v>26</v>
      </c>
      <c r="R233" s="4">
        <v>0</v>
      </c>
      <c r="S233" s="4" t="s">
        <v>213</v>
      </c>
      <c r="T233" s="4" t="s">
        <v>362</v>
      </c>
      <c r="U233" s="4">
        <v>0</v>
      </c>
      <c r="V233" s="4">
        <v>39</v>
      </c>
      <c r="W233" s="4">
        <v>10</v>
      </c>
    </row>
    <row r="234" spans="1:23" ht="11.25" customHeight="1" x14ac:dyDescent="0.3">
      <c r="A234" s="4" t="s">
        <v>28</v>
      </c>
      <c r="B234" s="4" t="s">
        <v>41</v>
      </c>
      <c r="C234" s="4" t="s">
        <v>23</v>
      </c>
      <c r="D234" s="4" t="s">
        <v>42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44562</v>
      </c>
      <c r="J234" s="6">
        <v>0</v>
      </c>
      <c r="K234" s="6">
        <v>0</v>
      </c>
      <c r="L234" s="6">
        <v>3.0249999999999999</v>
      </c>
      <c r="M234" s="6">
        <v>3.0249999999999999</v>
      </c>
      <c r="N234" s="6">
        <v>3.0249999999999999</v>
      </c>
      <c r="O234" s="6">
        <v>3.0249999999999999</v>
      </c>
      <c r="P234" s="6">
        <v>5</v>
      </c>
      <c r="Q234" s="4" t="s">
        <v>26</v>
      </c>
      <c r="R234" s="4">
        <v>0</v>
      </c>
      <c r="S234" s="4" t="s">
        <v>213</v>
      </c>
      <c r="T234" s="4" t="s">
        <v>362</v>
      </c>
      <c r="U234" s="4">
        <v>0</v>
      </c>
      <c r="V234" s="4">
        <v>39</v>
      </c>
      <c r="W234" s="4">
        <v>10</v>
      </c>
    </row>
    <row r="235" spans="1:23" ht="11.25" customHeight="1" x14ac:dyDescent="0.3">
      <c r="A235" s="4" t="s">
        <v>21</v>
      </c>
      <c r="B235" s="4" t="s">
        <v>41</v>
      </c>
      <c r="C235" s="4" t="s">
        <v>23</v>
      </c>
      <c r="D235" s="4" t="s">
        <v>42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44593</v>
      </c>
      <c r="J235" s="6">
        <v>0</v>
      </c>
      <c r="K235" s="6">
        <v>0</v>
      </c>
      <c r="L235" s="6">
        <v>128.40199999999999</v>
      </c>
      <c r="M235" s="6">
        <v>128.40199999999999</v>
      </c>
      <c r="N235" s="6">
        <v>128.40199999999999</v>
      </c>
      <c r="O235" s="6">
        <v>128.40199999999999</v>
      </c>
      <c r="P235" s="6">
        <v>331</v>
      </c>
      <c r="Q235" s="4" t="s">
        <v>26</v>
      </c>
      <c r="R235" s="4">
        <v>0</v>
      </c>
      <c r="S235" s="4" t="s">
        <v>214</v>
      </c>
      <c r="T235" s="4" t="s">
        <v>363</v>
      </c>
      <c r="U235" s="4">
        <v>0</v>
      </c>
      <c r="V235" s="4">
        <v>39</v>
      </c>
      <c r="W235" s="4">
        <v>10</v>
      </c>
    </row>
    <row r="236" spans="1:23" ht="11.25" customHeight="1" x14ac:dyDescent="0.3">
      <c r="A236" s="4" t="s">
        <v>28</v>
      </c>
      <c r="B236" s="4" t="s">
        <v>41</v>
      </c>
      <c r="C236" s="4" t="s">
        <v>23</v>
      </c>
      <c r="D236" s="4" t="s">
        <v>42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44593</v>
      </c>
      <c r="J236" s="6">
        <v>0</v>
      </c>
      <c r="K236" s="6">
        <v>0</v>
      </c>
      <c r="L236" s="6">
        <v>1.198</v>
      </c>
      <c r="M236" s="6">
        <v>1.198</v>
      </c>
      <c r="N236" s="6">
        <v>1.198</v>
      </c>
      <c r="O236" s="6">
        <v>1.198</v>
      </c>
      <c r="P236" s="6">
        <v>4</v>
      </c>
      <c r="Q236" s="4" t="s">
        <v>26</v>
      </c>
      <c r="R236" s="4">
        <v>0</v>
      </c>
      <c r="S236" s="4" t="s">
        <v>214</v>
      </c>
      <c r="T236" s="4" t="s">
        <v>363</v>
      </c>
      <c r="U236" s="4">
        <v>0</v>
      </c>
      <c r="V236" s="4">
        <v>39</v>
      </c>
      <c r="W236" s="4">
        <v>10</v>
      </c>
    </row>
    <row r="237" spans="1:23" ht="11.25" customHeight="1" x14ac:dyDescent="0.3">
      <c r="A237" s="4" t="s">
        <v>28</v>
      </c>
      <c r="B237" s="4" t="s">
        <v>41</v>
      </c>
      <c r="C237" s="4" t="s">
        <v>23</v>
      </c>
      <c r="D237" s="4" t="s">
        <v>42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44593</v>
      </c>
      <c r="J237" s="6">
        <v>0</v>
      </c>
      <c r="K237" s="6">
        <v>0</v>
      </c>
      <c r="L237" s="6">
        <v>-0.82199999999999995</v>
      </c>
      <c r="M237" s="6">
        <v>-0.82199999999999995</v>
      </c>
      <c r="N237" s="6">
        <v>-0.82199999999999995</v>
      </c>
      <c r="O237" s="6">
        <v>-0.82199999999999995</v>
      </c>
      <c r="P237" s="6">
        <v>2</v>
      </c>
      <c r="Q237" s="4" t="s">
        <v>26</v>
      </c>
      <c r="R237" s="4">
        <v>0</v>
      </c>
      <c r="S237" s="4" t="s">
        <v>214</v>
      </c>
      <c r="T237" s="4" t="s">
        <v>363</v>
      </c>
      <c r="U237" s="4">
        <v>0</v>
      </c>
      <c r="V237" s="4">
        <v>39</v>
      </c>
      <c r="W237" s="4">
        <v>10</v>
      </c>
    </row>
    <row r="238" spans="1:23" ht="11.25" customHeight="1" x14ac:dyDescent="0.3">
      <c r="A238" s="4" t="s">
        <v>21</v>
      </c>
      <c r="B238" s="4" t="s">
        <v>41</v>
      </c>
      <c r="C238" s="4" t="s">
        <v>23</v>
      </c>
      <c r="D238" s="4" t="s">
        <v>42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44621</v>
      </c>
      <c r="J238" s="6">
        <v>0</v>
      </c>
      <c r="K238" s="6">
        <v>0</v>
      </c>
      <c r="L238" s="6">
        <v>132.58600000000001</v>
      </c>
      <c r="M238" s="6">
        <v>132.58600000000001</v>
      </c>
      <c r="N238" s="6">
        <v>132.58600000000001</v>
      </c>
      <c r="O238" s="6">
        <v>132.58600000000001</v>
      </c>
      <c r="P238" s="6">
        <v>332</v>
      </c>
      <c r="Q238" s="4" t="s">
        <v>26</v>
      </c>
      <c r="R238" s="4">
        <v>0</v>
      </c>
      <c r="S238" s="4" t="s">
        <v>215</v>
      </c>
      <c r="T238" s="4" t="s">
        <v>364</v>
      </c>
      <c r="U238" s="4">
        <v>0</v>
      </c>
      <c r="V238" s="4">
        <v>39</v>
      </c>
      <c r="W238" s="4">
        <v>10</v>
      </c>
    </row>
    <row r="239" spans="1:23" ht="11.25" customHeight="1" x14ac:dyDescent="0.3">
      <c r="A239" s="4" t="s">
        <v>21</v>
      </c>
      <c r="B239" s="4" t="s">
        <v>41</v>
      </c>
      <c r="C239" s="4" t="s">
        <v>23</v>
      </c>
      <c r="D239" s="4" t="s">
        <v>42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44652</v>
      </c>
      <c r="J239" s="6">
        <v>0</v>
      </c>
      <c r="K239" s="6">
        <v>0</v>
      </c>
      <c r="L239" s="6">
        <v>122.051</v>
      </c>
      <c r="M239" s="6">
        <v>122.051</v>
      </c>
      <c r="N239" s="6">
        <v>122.051</v>
      </c>
      <c r="O239" s="6">
        <v>122.051</v>
      </c>
      <c r="P239" s="6">
        <v>327</v>
      </c>
      <c r="Q239" s="4" t="s">
        <v>26</v>
      </c>
      <c r="R239" s="4">
        <v>0</v>
      </c>
      <c r="S239" s="4" t="s">
        <v>216</v>
      </c>
      <c r="T239" s="4" t="s">
        <v>365</v>
      </c>
      <c r="U239" s="4">
        <v>0</v>
      </c>
      <c r="V239" s="4">
        <v>39</v>
      </c>
      <c r="W239" s="4">
        <v>10</v>
      </c>
    </row>
    <row r="240" spans="1:23" ht="11.25" customHeight="1" x14ac:dyDescent="0.3">
      <c r="A240" s="4" t="s">
        <v>28</v>
      </c>
      <c r="B240" s="4" t="s">
        <v>41</v>
      </c>
      <c r="C240" s="4" t="s">
        <v>23</v>
      </c>
      <c r="D240" s="4" t="s">
        <v>42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44652</v>
      </c>
      <c r="J240" s="6">
        <v>0</v>
      </c>
      <c r="K240" s="6">
        <v>0</v>
      </c>
      <c r="L240" s="6">
        <v>3.11</v>
      </c>
      <c r="M240" s="6">
        <v>3.11</v>
      </c>
      <c r="N240" s="6">
        <v>3.11</v>
      </c>
      <c r="O240" s="6">
        <v>3.11</v>
      </c>
      <c r="P240" s="6">
        <v>6</v>
      </c>
      <c r="Q240" s="4" t="s">
        <v>26</v>
      </c>
      <c r="R240" s="4">
        <v>0</v>
      </c>
      <c r="S240" s="4" t="s">
        <v>216</v>
      </c>
      <c r="T240" s="4" t="s">
        <v>365</v>
      </c>
      <c r="U240" s="4">
        <v>0</v>
      </c>
      <c r="V240" s="4">
        <v>39</v>
      </c>
      <c r="W240" s="4">
        <v>10</v>
      </c>
    </row>
    <row r="241" spans="1:23" ht="11.25" customHeight="1" x14ac:dyDescent="0.3">
      <c r="A241" s="4" t="s">
        <v>21</v>
      </c>
      <c r="B241" s="4" t="s">
        <v>41</v>
      </c>
      <c r="C241" s="4" t="s">
        <v>23</v>
      </c>
      <c r="D241" s="4" t="s">
        <v>42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44682</v>
      </c>
      <c r="J241" s="6">
        <v>0</v>
      </c>
      <c r="K241" s="6">
        <v>0</v>
      </c>
      <c r="L241" s="6">
        <v>112.93300000000001</v>
      </c>
      <c r="M241" s="6">
        <v>112.93300000000001</v>
      </c>
      <c r="N241" s="6">
        <v>112.93300000000001</v>
      </c>
      <c r="O241" s="6">
        <v>112.93300000000001</v>
      </c>
      <c r="P241" s="6">
        <v>330</v>
      </c>
      <c r="Q241" s="4" t="s">
        <v>26</v>
      </c>
      <c r="R241" s="4">
        <v>0</v>
      </c>
      <c r="S241" s="4" t="s">
        <v>217</v>
      </c>
      <c r="T241" s="4" t="s">
        <v>366</v>
      </c>
      <c r="U241" s="4">
        <v>0</v>
      </c>
      <c r="V241" s="4">
        <v>39</v>
      </c>
      <c r="W241" s="4">
        <v>10</v>
      </c>
    </row>
    <row r="242" spans="1:23" ht="11.25" customHeight="1" x14ac:dyDescent="0.3">
      <c r="A242" s="4" t="s">
        <v>27</v>
      </c>
      <c r="B242" s="4" t="s">
        <v>41</v>
      </c>
      <c r="C242" s="4" t="s">
        <v>23</v>
      </c>
      <c r="D242" s="4" t="s">
        <v>42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44682</v>
      </c>
      <c r="J242" s="6">
        <v>0</v>
      </c>
      <c r="K242" s="6">
        <v>0</v>
      </c>
      <c r="L242" s="6">
        <v>2.222</v>
      </c>
      <c r="M242" s="6">
        <v>2.222</v>
      </c>
      <c r="N242" s="6">
        <v>2.222</v>
      </c>
      <c r="O242" s="6">
        <v>2.222</v>
      </c>
      <c r="P242" s="6">
        <v>0</v>
      </c>
      <c r="Q242" s="4" t="s">
        <v>26</v>
      </c>
      <c r="R242" s="4">
        <v>0</v>
      </c>
      <c r="S242" s="4" t="s">
        <v>217</v>
      </c>
      <c r="T242" s="4" t="s">
        <v>366</v>
      </c>
      <c r="U242" s="4">
        <v>0</v>
      </c>
      <c r="V242" s="4">
        <v>39</v>
      </c>
      <c r="W242" s="4">
        <v>10</v>
      </c>
    </row>
    <row r="243" spans="1:23" ht="11.25" customHeight="1" x14ac:dyDescent="0.3">
      <c r="A243" s="4" t="s">
        <v>28</v>
      </c>
      <c r="B243" s="4" t="s">
        <v>41</v>
      </c>
      <c r="C243" s="4" t="s">
        <v>23</v>
      </c>
      <c r="D243" s="4" t="s">
        <v>42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44682</v>
      </c>
      <c r="J243" s="6">
        <v>0</v>
      </c>
      <c r="K243" s="6">
        <v>0</v>
      </c>
      <c r="L243" s="6">
        <v>2.544</v>
      </c>
      <c r="M243" s="6">
        <v>2.544</v>
      </c>
      <c r="N243" s="6">
        <v>2.544</v>
      </c>
      <c r="O243" s="6">
        <v>2.544</v>
      </c>
      <c r="P243" s="6">
        <v>6</v>
      </c>
      <c r="Q243" s="4" t="s">
        <v>26</v>
      </c>
      <c r="R243" s="4">
        <v>0</v>
      </c>
      <c r="S243" s="4" t="s">
        <v>217</v>
      </c>
      <c r="T243" s="4" t="s">
        <v>366</v>
      </c>
      <c r="U243" s="4">
        <v>0</v>
      </c>
      <c r="V243" s="4">
        <v>39</v>
      </c>
      <c r="W243" s="4">
        <v>10</v>
      </c>
    </row>
    <row r="244" spans="1:23" ht="11.25" customHeight="1" x14ac:dyDescent="0.3">
      <c r="A244" s="4" t="s">
        <v>21</v>
      </c>
      <c r="B244" s="4" t="s">
        <v>41</v>
      </c>
      <c r="C244" s="4" t="s">
        <v>23</v>
      </c>
      <c r="D244" s="4" t="s">
        <v>42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44713</v>
      </c>
      <c r="J244" s="6">
        <v>0</v>
      </c>
      <c r="K244" s="6">
        <v>0</v>
      </c>
      <c r="L244" s="6">
        <v>94.849000000000004</v>
      </c>
      <c r="M244" s="6">
        <v>94.849000000000004</v>
      </c>
      <c r="N244" s="6">
        <v>94.849000000000004</v>
      </c>
      <c r="O244" s="6">
        <v>94.849000000000004</v>
      </c>
      <c r="P244" s="6">
        <v>325</v>
      </c>
      <c r="Q244" s="4" t="s">
        <v>26</v>
      </c>
      <c r="R244" s="4">
        <v>0</v>
      </c>
      <c r="S244" s="4" t="s">
        <v>218</v>
      </c>
      <c r="T244" s="4" t="s">
        <v>367</v>
      </c>
      <c r="U244" s="4">
        <v>0</v>
      </c>
      <c r="V244" s="4">
        <v>39</v>
      </c>
      <c r="W244" s="4">
        <v>10</v>
      </c>
    </row>
    <row r="245" spans="1:23" ht="11.25" customHeight="1" x14ac:dyDescent="0.3">
      <c r="A245" s="4" t="s">
        <v>27</v>
      </c>
      <c r="B245" s="4" t="s">
        <v>41</v>
      </c>
      <c r="C245" s="4" t="s">
        <v>23</v>
      </c>
      <c r="D245" s="4" t="s">
        <v>42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44713</v>
      </c>
      <c r="J245" s="6">
        <v>0</v>
      </c>
      <c r="K245" s="6">
        <v>0</v>
      </c>
      <c r="L245" s="6">
        <v>-0.58599999999999997</v>
      </c>
      <c r="M245" s="6">
        <v>-0.58599999999999997</v>
      </c>
      <c r="N245" s="6">
        <v>-0.58599999999999997</v>
      </c>
      <c r="O245" s="6">
        <v>-0.58599999999999997</v>
      </c>
      <c r="P245" s="6">
        <v>0</v>
      </c>
      <c r="Q245" s="4" t="s">
        <v>26</v>
      </c>
      <c r="R245" s="4">
        <v>0</v>
      </c>
      <c r="S245" s="4" t="s">
        <v>218</v>
      </c>
      <c r="T245" s="4" t="s">
        <v>367</v>
      </c>
      <c r="U245" s="4">
        <v>0</v>
      </c>
      <c r="V245" s="4">
        <v>39</v>
      </c>
      <c r="W245" s="4">
        <v>10</v>
      </c>
    </row>
    <row r="246" spans="1:23" ht="11.25" customHeight="1" x14ac:dyDescent="0.3">
      <c r="A246" s="4" t="s">
        <v>28</v>
      </c>
      <c r="B246" s="4" t="s">
        <v>41</v>
      </c>
      <c r="C246" s="4" t="s">
        <v>23</v>
      </c>
      <c r="D246" s="4" t="s">
        <v>42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44713</v>
      </c>
      <c r="J246" s="6">
        <v>0</v>
      </c>
      <c r="K246" s="6">
        <v>0</v>
      </c>
      <c r="L246" s="6">
        <v>1.64</v>
      </c>
      <c r="M246" s="6">
        <v>1.64</v>
      </c>
      <c r="N246" s="6">
        <v>1.64</v>
      </c>
      <c r="O246" s="6">
        <v>1.64</v>
      </c>
      <c r="P246" s="6">
        <v>5</v>
      </c>
      <c r="Q246" s="4" t="s">
        <v>26</v>
      </c>
      <c r="R246" s="4">
        <v>0</v>
      </c>
      <c r="S246" s="4" t="s">
        <v>218</v>
      </c>
      <c r="T246" s="4" t="s">
        <v>367</v>
      </c>
      <c r="U246" s="4">
        <v>0</v>
      </c>
      <c r="V246" s="4">
        <v>39</v>
      </c>
      <c r="W246" s="4">
        <v>10</v>
      </c>
    </row>
    <row r="247" spans="1:23" ht="11.25" customHeight="1" x14ac:dyDescent="0.3">
      <c r="A247" s="4" t="s">
        <v>21</v>
      </c>
      <c r="B247" s="4" t="s">
        <v>41</v>
      </c>
      <c r="C247" s="4" t="s">
        <v>23</v>
      </c>
      <c r="D247" s="4" t="s">
        <v>42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44743</v>
      </c>
      <c r="J247" s="6">
        <v>0</v>
      </c>
      <c r="K247" s="6">
        <v>0</v>
      </c>
      <c r="L247" s="6">
        <v>99.789000000000001</v>
      </c>
      <c r="M247" s="6">
        <v>99.789000000000001</v>
      </c>
      <c r="N247" s="6">
        <v>99.789000000000001</v>
      </c>
      <c r="O247" s="6">
        <v>99.789000000000001</v>
      </c>
      <c r="P247" s="6">
        <v>321</v>
      </c>
      <c r="Q247" s="4" t="s">
        <v>26</v>
      </c>
      <c r="R247" s="4">
        <v>0</v>
      </c>
      <c r="S247" s="4" t="s">
        <v>219</v>
      </c>
      <c r="T247" s="4" t="s">
        <v>368</v>
      </c>
      <c r="U247" s="4">
        <v>0</v>
      </c>
      <c r="V247" s="4">
        <v>39</v>
      </c>
      <c r="W247" s="4">
        <v>10</v>
      </c>
    </row>
    <row r="248" spans="1:23" ht="11.25" customHeight="1" x14ac:dyDescent="0.3">
      <c r="A248" s="4" t="s">
        <v>28</v>
      </c>
      <c r="B248" s="4" t="s">
        <v>41</v>
      </c>
      <c r="C248" s="4" t="s">
        <v>23</v>
      </c>
      <c r="D248" s="4" t="s">
        <v>42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44743</v>
      </c>
      <c r="J248" s="6">
        <v>0</v>
      </c>
      <c r="K248" s="6">
        <v>0</v>
      </c>
      <c r="L248" s="6">
        <v>1.3460000000000001</v>
      </c>
      <c r="M248" s="6">
        <v>1.3460000000000001</v>
      </c>
      <c r="N248" s="6">
        <v>1.3460000000000001</v>
      </c>
      <c r="O248" s="6">
        <v>1.3460000000000001</v>
      </c>
      <c r="P248" s="6">
        <v>6</v>
      </c>
      <c r="Q248" s="4" t="s">
        <v>26</v>
      </c>
      <c r="R248" s="4">
        <v>0</v>
      </c>
      <c r="S248" s="4" t="s">
        <v>219</v>
      </c>
      <c r="T248" s="4" t="s">
        <v>368</v>
      </c>
      <c r="U248" s="4">
        <v>0</v>
      </c>
      <c r="V248" s="4">
        <v>39</v>
      </c>
      <c r="W248" s="4">
        <v>10</v>
      </c>
    </row>
    <row r="249" spans="1:23" ht="11.25" customHeight="1" x14ac:dyDescent="0.3">
      <c r="A249" s="4" t="s">
        <v>21</v>
      </c>
      <c r="B249" s="4" t="s">
        <v>41</v>
      </c>
      <c r="C249" s="4" t="s">
        <v>23</v>
      </c>
      <c r="D249" s="4" t="s">
        <v>42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44774</v>
      </c>
      <c r="J249" s="6">
        <v>0</v>
      </c>
      <c r="K249" s="6">
        <v>0</v>
      </c>
      <c r="L249" s="6">
        <v>102.925</v>
      </c>
      <c r="M249" s="6">
        <v>102.925</v>
      </c>
      <c r="N249" s="6">
        <v>102.925</v>
      </c>
      <c r="O249" s="6">
        <v>102.925</v>
      </c>
      <c r="P249" s="6">
        <v>320</v>
      </c>
      <c r="Q249" s="4" t="s">
        <v>26</v>
      </c>
      <c r="R249" s="4">
        <v>0</v>
      </c>
      <c r="S249" s="4" t="s">
        <v>220</v>
      </c>
      <c r="T249" s="4" t="s">
        <v>369</v>
      </c>
      <c r="U249" s="4">
        <v>0</v>
      </c>
      <c r="V249" s="4">
        <v>39</v>
      </c>
      <c r="W249" s="4">
        <v>10</v>
      </c>
    </row>
    <row r="250" spans="1:23" ht="11.25" customHeight="1" x14ac:dyDescent="0.3">
      <c r="A250" s="4" t="s">
        <v>27</v>
      </c>
      <c r="B250" s="4" t="s">
        <v>41</v>
      </c>
      <c r="C250" s="4" t="s">
        <v>23</v>
      </c>
      <c r="D250" s="4" t="s">
        <v>42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44774</v>
      </c>
      <c r="J250" s="6">
        <v>0</v>
      </c>
      <c r="K250" s="6">
        <v>0</v>
      </c>
      <c r="L250" s="6">
        <v>-8.0000000000000002E-3</v>
      </c>
      <c r="M250" s="6">
        <v>-8.0000000000000002E-3</v>
      </c>
      <c r="N250" s="6">
        <v>-8.0000000000000002E-3</v>
      </c>
      <c r="O250" s="6">
        <v>-8.0000000000000002E-3</v>
      </c>
      <c r="P250" s="6">
        <v>0</v>
      </c>
      <c r="Q250" s="4" t="s">
        <v>26</v>
      </c>
      <c r="R250" s="4">
        <v>0</v>
      </c>
      <c r="S250" s="4" t="s">
        <v>220</v>
      </c>
      <c r="T250" s="4" t="s">
        <v>369</v>
      </c>
      <c r="U250" s="4">
        <v>0</v>
      </c>
      <c r="V250" s="4">
        <v>39</v>
      </c>
      <c r="W250" s="4">
        <v>10</v>
      </c>
    </row>
    <row r="251" spans="1:23" ht="11.25" customHeight="1" x14ac:dyDescent="0.3">
      <c r="A251" s="4" t="s">
        <v>28</v>
      </c>
      <c r="B251" s="4" t="s">
        <v>41</v>
      </c>
      <c r="C251" s="4" t="s">
        <v>23</v>
      </c>
      <c r="D251" s="4" t="s">
        <v>42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44774</v>
      </c>
      <c r="J251" s="6">
        <v>0</v>
      </c>
      <c r="K251" s="6">
        <v>0</v>
      </c>
      <c r="L251" s="6">
        <v>1.403</v>
      </c>
      <c r="M251" s="6">
        <v>1.403</v>
      </c>
      <c r="N251" s="6">
        <v>1.403</v>
      </c>
      <c r="O251" s="6">
        <v>1.403</v>
      </c>
      <c r="P251" s="6">
        <v>6</v>
      </c>
      <c r="Q251" s="4" t="s">
        <v>26</v>
      </c>
      <c r="R251" s="4">
        <v>0</v>
      </c>
      <c r="S251" s="4" t="s">
        <v>220</v>
      </c>
      <c r="T251" s="4" t="s">
        <v>369</v>
      </c>
      <c r="U251" s="4">
        <v>0</v>
      </c>
      <c r="V251" s="4">
        <v>39</v>
      </c>
      <c r="W251" s="4">
        <v>10</v>
      </c>
    </row>
    <row r="252" spans="1:23" ht="11.25" customHeight="1" x14ac:dyDescent="0.3">
      <c r="A252" s="4" t="s">
        <v>21</v>
      </c>
      <c r="B252" s="4" t="s">
        <v>36</v>
      </c>
      <c r="C252" s="4" t="s">
        <v>23</v>
      </c>
      <c r="D252" s="4" t="s">
        <v>37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44440</v>
      </c>
      <c r="J252" s="6">
        <v>0</v>
      </c>
      <c r="K252" s="6">
        <v>0</v>
      </c>
      <c r="L252" s="6">
        <v>17.372</v>
      </c>
      <c r="M252" s="6">
        <v>17.372</v>
      </c>
      <c r="N252" s="6">
        <v>17.372</v>
      </c>
      <c r="O252" s="6">
        <v>17.372</v>
      </c>
      <c r="P252" s="6">
        <v>43</v>
      </c>
      <c r="Q252" s="4" t="s">
        <v>26</v>
      </c>
      <c r="R252" s="4">
        <v>0</v>
      </c>
      <c r="S252" s="4" t="s">
        <v>221</v>
      </c>
      <c r="T252" s="4" t="s">
        <v>370</v>
      </c>
      <c r="U252" s="4">
        <v>0</v>
      </c>
      <c r="V252" s="4">
        <v>61</v>
      </c>
      <c r="W252" s="4">
        <v>2</v>
      </c>
    </row>
    <row r="253" spans="1:23" ht="11.25" customHeight="1" x14ac:dyDescent="0.3">
      <c r="A253" s="4" t="s">
        <v>21</v>
      </c>
      <c r="B253" s="4" t="s">
        <v>36</v>
      </c>
      <c r="C253" s="4" t="s">
        <v>23</v>
      </c>
      <c r="D253" s="4" t="s">
        <v>37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44470</v>
      </c>
      <c r="J253" s="6">
        <v>0</v>
      </c>
      <c r="K253" s="6">
        <v>0</v>
      </c>
      <c r="L253" s="6">
        <v>15.944000000000001</v>
      </c>
      <c r="M253" s="6">
        <v>15.944000000000001</v>
      </c>
      <c r="N253" s="6">
        <v>15.944000000000001</v>
      </c>
      <c r="O253" s="6">
        <v>15.944000000000001</v>
      </c>
      <c r="P253" s="6">
        <v>43</v>
      </c>
      <c r="Q253" s="4" t="s">
        <v>26</v>
      </c>
      <c r="R253" s="4">
        <v>0</v>
      </c>
      <c r="S253" s="4" t="s">
        <v>222</v>
      </c>
      <c r="T253" s="4" t="s">
        <v>371</v>
      </c>
      <c r="U253" s="4">
        <v>0</v>
      </c>
      <c r="V253" s="4">
        <v>61</v>
      </c>
      <c r="W253" s="4">
        <v>2</v>
      </c>
    </row>
    <row r="254" spans="1:23" ht="11.25" customHeight="1" x14ac:dyDescent="0.3">
      <c r="A254" s="4" t="s">
        <v>21</v>
      </c>
      <c r="B254" s="4" t="s">
        <v>36</v>
      </c>
      <c r="C254" s="4" t="s">
        <v>23</v>
      </c>
      <c r="D254" s="4" t="s">
        <v>37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44501</v>
      </c>
      <c r="J254" s="6">
        <v>0</v>
      </c>
      <c r="K254" s="6">
        <v>0</v>
      </c>
      <c r="L254" s="6">
        <v>15.157</v>
      </c>
      <c r="M254" s="6">
        <v>15.157</v>
      </c>
      <c r="N254" s="6">
        <v>15.157</v>
      </c>
      <c r="O254" s="6">
        <v>15.157</v>
      </c>
      <c r="P254" s="6">
        <v>42</v>
      </c>
      <c r="Q254" s="4" t="s">
        <v>26</v>
      </c>
      <c r="R254" s="4">
        <v>0</v>
      </c>
      <c r="S254" s="4" t="s">
        <v>223</v>
      </c>
      <c r="T254" s="4" t="s">
        <v>372</v>
      </c>
      <c r="U254" s="4">
        <v>0</v>
      </c>
      <c r="V254" s="4">
        <v>61</v>
      </c>
      <c r="W254" s="4">
        <v>2</v>
      </c>
    </row>
    <row r="255" spans="1:23" ht="11.25" customHeight="1" x14ac:dyDescent="0.3">
      <c r="A255" s="4" t="s">
        <v>21</v>
      </c>
      <c r="B255" s="4" t="s">
        <v>36</v>
      </c>
      <c r="C255" s="4" t="s">
        <v>23</v>
      </c>
      <c r="D255" s="4" t="s">
        <v>37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44531</v>
      </c>
      <c r="J255" s="6">
        <v>0</v>
      </c>
      <c r="K255" s="6">
        <v>0</v>
      </c>
      <c r="L255" s="6">
        <v>16.385000000000002</v>
      </c>
      <c r="M255" s="6">
        <v>16.385000000000002</v>
      </c>
      <c r="N255" s="6">
        <v>16.385000000000002</v>
      </c>
      <c r="O255" s="6">
        <v>16.385000000000002</v>
      </c>
      <c r="P255" s="6">
        <v>43</v>
      </c>
      <c r="Q255" s="4" t="s">
        <v>26</v>
      </c>
      <c r="R255" s="4">
        <v>0</v>
      </c>
      <c r="S255" s="4" t="s">
        <v>224</v>
      </c>
      <c r="T255" s="4" t="s">
        <v>373</v>
      </c>
      <c r="U255" s="4">
        <v>0</v>
      </c>
      <c r="V255" s="4">
        <v>61</v>
      </c>
      <c r="W255" s="4">
        <v>2</v>
      </c>
    </row>
    <row r="256" spans="1:23" ht="11.25" customHeight="1" x14ac:dyDescent="0.3">
      <c r="A256" s="4" t="s">
        <v>21</v>
      </c>
      <c r="B256" s="4" t="s">
        <v>36</v>
      </c>
      <c r="C256" s="4" t="s">
        <v>23</v>
      </c>
      <c r="D256" s="4" t="s">
        <v>37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44562</v>
      </c>
      <c r="J256" s="6">
        <v>0</v>
      </c>
      <c r="K256" s="6">
        <v>0</v>
      </c>
      <c r="L256" s="6">
        <v>19.715</v>
      </c>
      <c r="M256" s="6">
        <v>19.715</v>
      </c>
      <c r="N256" s="6">
        <v>19.715</v>
      </c>
      <c r="O256" s="6">
        <v>19.715</v>
      </c>
      <c r="P256" s="6">
        <v>42</v>
      </c>
      <c r="Q256" s="4" t="s">
        <v>26</v>
      </c>
      <c r="R256" s="4">
        <v>0</v>
      </c>
      <c r="S256" s="4" t="s">
        <v>225</v>
      </c>
      <c r="T256" s="4" t="s">
        <v>374</v>
      </c>
      <c r="U256" s="4">
        <v>0</v>
      </c>
      <c r="V256" s="4">
        <v>61</v>
      </c>
      <c r="W256" s="4">
        <v>2</v>
      </c>
    </row>
    <row r="257" spans="1:23" ht="11.25" customHeight="1" x14ac:dyDescent="0.3">
      <c r="A257" s="4" t="s">
        <v>21</v>
      </c>
      <c r="B257" s="4" t="s">
        <v>36</v>
      </c>
      <c r="C257" s="4" t="s">
        <v>23</v>
      </c>
      <c r="D257" s="4" t="s">
        <v>37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16.547999999999998</v>
      </c>
      <c r="M257" s="6">
        <v>16.547999999999998</v>
      </c>
      <c r="N257" s="6">
        <v>16.547999999999998</v>
      </c>
      <c r="O257" s="6">
        <v>16.547999999999998</v>
      </c>
      <c r="P257" s="6">
        <v>43</v>
      </c>
      <c r="Q257" s="4" t="s">
        <v>26</v>
      </c>
      <c r="R257" s="4">
        <v>0</v>
      </c>
      <c r="S257" s="4" t="s">
        <v>226</v>
      </c>
      <c r="T257" s="4" t="s">
        <v>375</v>
      </c>
      <c r="U257" s="4">
        <v>0</v>
      </c>
      <c r="V257" s="4">
        <v>61</v>
      </c>
      <c r="W257" s="4">
        <v>2</v>
      </c>
    </row>
    <row r="258" spans="1:23" ht="11.25" customHeight="1" x14ac:dyDescent="0.3">
      <c r="A258" s="4" t="s">
        <v>21</v>
      </c>
      <c r="B258" s="4" t="s">
        <v>36</v>
      </c>
      <c r="C258" s="4" t="s">
        <v>23</v>
      </c>
      <c r="D258" s="4" t="s">
        <v>37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19.779</v>
      </c>
      <c r="M258" s="6">
        <v>19.779</v>
      </c>
      <c r="N258" s="6">
        <v>19.779</v>
      </c>
      <c r="O258" s="6">
        <v>19.779</v>
      </c>
      <c r="P258" s="6">
        <v>44</v>
      </c>
      <c r="Q258" s="4" t="s">
        <v>26</v>
      </c>
      <c r="R258" s="4">
        <v>0</v>
      </c>
      <c r="S258" s="4" t="s">
        <v>227</v>
      </c>
      <c r="T258" s="4" t="s">
        <v>376</v>
      </c>
      <c r="U258" s="4">
        <v>0</v>
      </c>
      <c r="V258" s="4">
        <v>61</v>
      </c>
      <c r="W258" s="4">
        <v>2</v>
      </c>
    </row>
    <row r="259" spans="1:23" ht="11.25" customHeight="1" x14ac:dyDescent="0.3">
      <c r="A259" s="4" t="s">
        <v>21</v>
      </c>
      <c r="B259" s="4" t="s">
        <v>36</v>
      </c>
      <c r="C259" s="4" t="s">
        <v>23</v>
      </c>
      <c r="D259" s="4" t="s">
        <v>37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44652</v>
      </c>
      <c r="J259" s="6">
        <v>0</v>
      </c>
      <c r="K259" s="6">
        <v>0</v>
      </c>
      <c r="L259" s="6">
        <v>16.95</v>
      </c>
      <c r="M259" s="6">
        <v>16.95</v>
      </c>
      <c r="N259" s="6">
        <v>16.95</v>
      </c>
      <c r="O259" s="6">
        <v>16.95</v>
      </c>
      <c r="P259" s="6">
        <v>43</v>
      </c>
      <c r="Q259" s="4" t="s">
        <v>26</v>
      </c>
      <c r="R259" s="4">
        <v>0</v>
      </c>
      <c r="S259" s="4" t="s">
        <v>228</v>
      </c>
      <c r="T259" s="4" t="s">
        <v>377</v>
      </c>
      <c r="U259" s="4">
        <v>0</v>
      </c>
      <c r="V259" s="4">
        <v>61</v>
      </c>
      <c r="W259" s="4">
        <v>2</v>
      </c>
    </row>
    <row r="260" spans="1:23" ht="11.25" customHeight="1" x14ac:dyDescent="0.3">
      <c r="A260" s="4" t="s">
        <v>21</v>
      </c>
      <c r="B260" s="4" t="s">
        <v>36</v>
      </c>
      <c r="C260" s="4" t="s">
        <v>23</v>
      </c>
      <c r="D260" s="4" t="s">
        <v>37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44682</v>
      </c>
      <c r="J260" s="6">
        <v>0</v>
      </c>
      <c r="K260" s="6">
        <v>0</v>
      </c>
      <c r="L260" s="6">
        <v>19.076000000000001</v>
      </c>
      <c r="M260" s="6">
        <v>19.076000000000001</v>
      </c>
      <c r="N260" s="6">
        <v>19.076000000000001</v>
      </c>
      <c r="O260" s="6">
        <v>19.076000000000001</v>
      </c>
      <c r="P260" s="6">
        <v>43</v>
      </c>
      <c r="Q260" s="4" t="s">
        <v>26</v>
      </c>
      <c r="R260" s="4">
        <v>0</v>
      </c>
      <c r="S260" s="4" t="s">
        <v>229</v>
      </c>
      <c r="T260" s="4" t="s">
        <v>378</v>
      </c>
      <c r="U260" s="4">
        <v>0</v>
      </c>
      <c r="V260" s="4">
        <v>61</v>
      </c>
      <c r="W260" s="4">
        <v>2</v>
      </c>
    </row>
    <row r="261" spans="1:23" ht="11.25" customHeight="1" x14ac:dyDescent="0.3">
      <c r="A261" s="4" t="s">
        <v>21</v>
      </c>
      <c r="B261" s="4" t="s">
        <v>36</v>
      </c>
      <c r="C261" s="4" t="s">
        <v>23</v>
      </c>
      <c r="D261" s="4" t="s">
        <v>37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44713</v>
      </c>
      <c r="J261" s="6">
        <v>0</v>
      </c>
      <c r="K261" s="6">
        <v>0</v>
      </c>
      <c r="L261" s="6">
        <v>16.850000000000001</v>
      </c>
      <c r="M261" s="6">
        <v>16.850000000000001</v>
      </c>
      <c r="N261" s="6">
        <v>16.850000000000001</v>
      </c>
      <c r="O261" s="6">
        <v>16.850000000000001</v>
      </c>
      <c r="P261" s="6">
        <v>43</v>
      </c>
      <c r="Q261" s="4" t="s">
        <v>26</v>
      </c>
      <c r="R261" s="4">
        <v>0</v>
      </c>
      <c r="S261" s="4" t="s">
        <v>230</v>
      </c>
      <c r="T261" s="4" t="s">
        <v>379</v>
      </c>
      <c r="U261" s="4">
        <v>0</v>
      </c>
      <c r="V261" s="4">
        <v>61</v>
      </c>
      <c r="W261" s="4">
        <v>2</v>
      </c>
    </row>
    <row r="262" spans="1:23" ht="11.25" customHeight="1" x14ac:dyDescent="0.3">
      <c r="A262" s="4" t="s">
        <v>27</v>
      </c>
      <c r="B262" s="4" t="s">
        <v>36</v>
      </c>
      <c r="C262" s="4" t="s">
        <v>23</v>
      </c>
      <c r="D262" s="4" t="s">
        <v>37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44713</v>
      </c>
      <c r="J262" s="6">
        <v>0</v>
      </c>
      <c r="K262" s="6">
        <v>0</v>
      </c>
      <c r="L262" s="6">
        <v>-0.26300000000000001</v>
      </c>
      <c r="M262" s="6">
        <v>-0.26300000000000001</v>
      </c>
      <c r="N262" s="6">
        <v>-0.26300000000000001</v>
      </c>
      <c r="O262" s="6">
        <v>-0.26300000000000001</v>
      </c>
      <c r="P262" s="6">
        <v>0</v>
      </c>
      <c r="Q262" s="4" t="s">
        <v>26</v>
      </c>
      <c r="R262" s="4">
        <v>0</v>
      </c>
      <c r="S262" s="4" t="s">
        <v>230</v>
      </c>
      <c r="T262" s="4" t="s">
        <v>379</v>
      </c>
      <c r="U262" s="4">
        <v>0</v>
      </c>
      <c r="V262" s="4">
        <v>61</v>
      </c>
      <c r="W262" s="4">
        <v>2</v>
      </c>
    </row>
    <row r="263" spans="1:23" ht="11.25" customHeight="1" x14ac:dyDescent="0.3">
      <c r="A263" s="4" t="s">
        <v>21</v>
      </c>
      <c r="B263" s="4" t="s">
        <v>36</v>
      </c>
      <c r="C263" s="4" t="s">
        <v>23</v>
      </c>
      <c r="D263" s="4" t="s">
        <v>37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44743</v>
      </c>
      <c r="J263" s="6">
        <v>0</v>
      </c>
      <c r="K263" s="6">
        <v>0</v>
      </c>
      <c r="L263" s="6">
        <v>16.61</v>
      </c>
      <c r="M263" s="6">
        <v>16.61</v>
      </c>
      <c r="N263" s="6">
        <v>16.61</v>
      </c>
      <c r="O263" s="6">
        <v>16.61</v>
      </c>
      <c r="P263" s="6">
        <v>44</v>
      </c>
      <c r="Q263" s="4" t="s">
        <v>26</v>
      </c>
      <c r="R263" s="4">
        <v>0</v>
      </c>
      <c r="S263" s="4" t="s">
        <v>231</v>
      </c>
      <c r="T263" s="4" t="s">
        <v>380</v>
      </c>
      <c r="U263" s="4">
        <v>0</v>
      </c>
      <c r="V263" s="4">
        <v>61</v>
      </c>
      <c r="W263" s="4">
        <v>2</v>
      </c>
    </row>
    <row r="264" spans="1:23" ht="11.25" customHeight="1" x14ac:dyDescent="0.3">
      <c r="A264" s="4" t="s">
        <v>21</v>
      </c>
      <c r="B264" s="4" t="s">
        <v>36</v>
      </c>
      <c r="C264" s="4" t="s">
        <v>23</v>
      </c>
      <c r="D264" s="4" t="s">
        <v>37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44774</v>
      </c>
      <c r="J264" s="6">
        <v>0</v>
      </c>
      <c r="K264" s="6">
        <v>0</v>
      </c>
      <c r="L264" s="6">
        <v>17.398</v>
      </c>
      <c r="M264" s="6">
        <v>17.398</v>
      </c>
      <c r="N264" s="6">
        <v>17.398</v>
      </c>
      <c r="O264" s="6">
        <v>17.398</v>
      </c>
      <c r="P264" s="6">
        <v>44</v>
      </c>
      <c r="Q264" s="4" t="s">
        <v>26</v>
      </c>
      <c r="R264" s="4">
        <v>0</v>
      </c>
      <c r="S264" s="4" t="s">
        <v>232</v>
      </c>
      <c r="T264" s="4" t="s">
        <v>381</v>
      </c>
      <c r="U264" s="4">
        <v>0</v>
      </c>
      <c r="V264" s="4">
        <v>61</v>
      </c>
      <c r="W264" s="4">
        <v>2</v>
      </c>
    </row>
    <row r="265" spans="1:23" ht="11.25" customHeight="1" x14ac:dyDescent="0.3">
      <c r="A265" s="4" t="s">
        <v>21</v>
      </c>
      <c r="B265" s="4" t="s">
        <v>36</v>
      </c>
      <c r="C265" s="4" t="s">
        <v>23</v>
      </c>
      <c r="D265" s="4" t="s">
        <v>43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6.7140000000000004</v>
      </c>
      <c r="M265" s="6">
        <v>6.7140000000000004</v>
      </c>
      <c r="N265" s="6">
        <v>6.7140000000000004</v>
      </c>
      <c r="O265" s="6">
        <v>6.7140000000000004</v>
      </c>
      <c r="P265" s="6">
        <v>10</v>
      </c>
      <c r="Q265" s="4" t="s">
        <v>26</v>
      </c>
      <c r="R265" s="4">
        <v>0</v>
      </c>
      <c r="S265" s="4" t="s">
        <v>221</v>
      </c>
      <c r="T265" s="4" t="s">
        <v>370</v>
      </c>
      <c r="U265" s="4">
        <v>0</v>
      </c>
      <c r="V265" s="4">
        <v>61</v>
      </c>
      <c r="W265" s="4">
        <v>2</v>
      </c>
    </row>
    <row r="266" spans="1:23" ht="11.25" customHeight="1" x14ac:dyDescent="0.3">
      <c r="A266" s="4" t="s">
        <v>21</v>
      </c>
      <c r="B266" s="4" t="s">
        <v>36</v>
      </c>
      <c r="C266" s="4" t="s">
        <v>23</v>
      </c>
      <c r="D266" s="4" t="s">
        <v>43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44470</v>
      </c>
      <c r="J266" s="6">
        <v>0</v>
      </c>
      <c r="K266" s="6">
        <v>0</v>
      </c>
      <c r="L266" s="6">
        <v>6.1349999999999998</v>
      </c>
      <c r="M266" s="6">
        <v>6.1349999999999998</v>
      </c>
      <c r="N266" s="6">
        <v>6.1349999999999998</v>
      </c>
      <c r="O266" s="6">
        <v>6.1349999999999998</v>
      </c>
      <c r="P266" s="6">
        <v>10</v>
      </c>
      <c r="Q266" s="4" t="s">
        <v>26</v>
      </c>
      <c r="R266" s="4">
        <v>0</v>
      </c>
      <c r="S266" s="4" t="s">
        <v>222</v>
      </c>
      <c r="T266" s="4" t="s">
        <v>371</v>
      </c>
      <c r="U266" s="4">
        <v>0</v>
      </c>
      <c r="V266" s="4">
        <v>61</v>
      </c>
      <c r="W266" s="4">
        <v>2</v>
      </c>
    </row>
    <row r="267" spans="1:23" ht="11.25" customHeight="1" x14ac:dyDescent="0.3">
      <c r="A267" s="4" t="s">
        <v>21</v>
      </c>
      <c r="B267" s="4" t="s">
        <v>36</v>
      </c>
      <c r="C267" s="4" t="s">
        <v>23</v>
      </c>
      <c r="D267" s="4" t="s">
        <v>43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44501</v>
      </c>
      <c r="J267" s="6">
        <v>0</v>
      </c>
      <c r="K267" s="6">
        <v>0</v>
      </c>
      <c r="L267" s="6">
        <v>5.7809999999999997</v>
      </c>
      <c r="M267" s="6">
        <v>5.7809999999999997</v>
      </c>
      <c r="N267" s="6">
        <v>5.7809999999999997</v>
      </c>
      <c r="O267" s="6">
        <v>5.7809999999999997</v>
      </c>
      <c r="P267" s="6">
        <v>10</v>
      </c>
      <c r="Q267" s="4" t="s">
        <v>26</v>
      </c>
      <c r="R267" s="4">
        <v>0</v>
      </c>
      <c r="S267" s="4" t="s">
        <v>223</v>
      </c>
      <c r="T267" s="4" t="s">
        <v>372</v>
      </c>
      <c r="U267" s="4">
        <v>0</v>
      </c>
      <c r="V267" s="4">
        <v>61</v>
      </c>
      <c r="W267" s="4">
        <v>2</v>
      </c>
    </row>
    <row r="268" spans="1:23" ht="11.25" customHeight="1" x14ac:dyDescent="0.3">
      <c r="A268" s="4" t="s">
        <v>21</v>
      </c>
      <c r="B268" s="4" t="s">
        <v>36</v>
      </c>
      <c r="C268" s="4" t="s">
        <v>23</v>
      </c>
      <c r="D268" s="4" t="s">
        <v>43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44531</v>
      </c>
      <c r="J268" s="6">
        <v>0</v>
      </c>
      <c r="K268" s="6">
        <v>0</v>
      </c>
      <c r="L268" s="6">
        <v>6.4459999999999997</v>
      </c>
      <c r="M268" s="6">
        <v>6.4459999999999997</v>
      </c>
      <c r="N268" s="6">
        <v>6.4459999999999997</v>
      </c>
      <c r="O268" s="6">
        <v>6.4459999999999997</v>
      </c>
      <c r="P268" s="6">
        <v>10</v>
      </c>
      <c r="Q268" s="4" t="s">
        <v>26</v>
      </c>
      <c r="R268" s="4">
        <v>0</v>
      </c>
      <c r="S268" s="4" t="s">
        <v>224</v>
      </c>
      <c r="T268" s="4" t="s">
        <v>373</v>
      </c>
      <c r="U268" s="4">
        <v>0</v>
      </c>
      <c r="V268" s="4">
        <v>61</v>
      </c>
      <c r="W268" s="4">
        <v>2</v>
      </c>
    </row>
    <row r="269" spans="1:23" ht="11.25" customHeight="1" x14ac:dyDescent="0.3">
      <c r="A269" s="4" t="s">
        <v>21</v>
      </c>
      <c r="B269" s="4" t="s">
        <v>36</v>
      </c>
      <c r="C269" s="4" t="s">
        <v>23</v>
      </c>
      <c r="D269" s="4" t="s">
        <v>43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44562</v>
      </c>
      <c r="J269" s="6">
        <v>0</v>
      </c>
      <c r="K269" s="6">
        <v>0</v>
      </c>
      <c r="L269" s="6">
        <v>6.3730000000000002</v>
      </c>
      <c r="M269" s="6">
        <v>6.3730000000000002</v>
      </c>
      <c r="N269" s="6">
        <v>6.3730000000000002</v>
      </c>
      <c r="O269" s="6">
        <v>6.3730000000000002</v>
      </c>
      <c r="P269" s="6">
        <v>10</v>
      </c>
      <c r="Q269" s="4" t="s">
        <v>26</v>
      </c>
      <c r="R269" s="4">
        <v>0</v>
      </c>
      <c r="S269" s="4" t="s">
        <v>225</v>
      </c>
      <c r="T269" s="4" t="s">
        <v>374</v>
      </c>
      <c r="U269" s="4">
        <v>0</v>
      </c>
      <c r="V269" s="4">
        <v>61</v>
      </c>
      <c r="W269" s="4">
        <v>2</v>
      </c>
    </row>
    <row r="270" spans="1:23" ht="11.25" customHeight="1" x14ac:dyDescent="0.3">
      <c r="A270" s="4" t="s">
        <v>21</v>
      </c>
      <c r="B270" s="4" t="s">
        <v>36</v>
      </c>
      <c r="C270" s="4" t="s">
        <v>23</v>
      </c>
      <c r="D270" s="4" t="s">
        <v>43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44593</v>
      </c>
      <c r="J270" s="6">
        <v>0</v>
      </c>
      <c r="K270" s="6">
        <v>0</v>
      </c>
      <c r="L270" s="6">
        <v>6.9450000000000003</v>
      </c>
      <c r="M270" s="6">
        <v>6.9450000000000003</v>
      </c>
      <c r="N270" s="6">
        <v>6.9450000000000003</v>
      </c>
      <c r="O270" s="6">
        <v>6.9450000000000003</v>
      </c>
      <c r="P270" s="6">
        <v>10</v>
      </c>
      <c r="Q270" s="4" t="s">
        <v>26</v>
      </c>
      <c r="R270" s="4">
        <v>0</v>
      </c>
      <c r="S270" s="4" t="s">
        <v>226</v>
      </c>
      <c r="T270" s="4" t="s">
        <v>375</v>
      </c>
      <c r="U270" s="4">
        <v>0</v>
      </c>
      <c r="V270" s="4">
        <v>61</v>
      </c>
      <c r="W270" s="4">
        <v>2</v>
      </c>
    </row>
    <row r="271" spans="1:23" ht="11.25" customHeight="1" x14ac:dyDescent="0.3">
      <c r="A271" s="4" t="s">
        <v>21</v>
      </c>
      <c r="B271" s="4" t="s">
        <v>36</v>
      </c>
      <c r="C271" s="4" t="s">
        <v>23</v>
      </c>
      <c r="D271" s="4" t="s">
        <v>43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44621</v>
      </c>
      <c r="J271" s="6">
        <v>0</v>
      </c>
      <c r="K271" s="6">
        <v>0</v>
      </c>
      <c r="L271" s="6">
        <v>7.6479999999999997</v>
      </c>
      <c r="M271" s="6">
        <v>7.6479999999999997</v>
      </c>
      <c r="N271" s="6">
        <v>7.6479999999999997</v>
      </c>
      <c r="O271" s="6">
        <v>7.6479999999999997</v>
      </c>
      <c r="P271" s="6">
        <v>10</v>
      </c>
      <c r="Q271" s="4" t="s">
        <v>26</v>
      </c>
      <c r="R271" s="4">
        <v>0</v>
      </c>
      <c r="S271" s="4" t="s">
        <v>227</v>
      </c>
      <c r="T271" s="4" t="s">
        <v>376</v>
      </c>
      <c r="U271" s="4">
        <v>0</v>
      </c>
      <c r="V271" s="4">
        <v>61</v>
      </c>
      <c r="W271" s="4">
        <v>2</v>
      </c>
    </row>
    <row r="272" spans="1:23" ht="11.25" customHeight="1" x14ac:dyDescent="0.3">
      <c r="A272" s="4" t="s">
        <v>21</v>
      </c>
      <c r="B272" s="4" t="s">
        <v>36</v>
      </c>
      <c r="C272" s="4" t="s">
        <v>23</v>
      </c>
      <c r="D272" s="4" t="s">
        <v>43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44652</v>
      </c>
      <c r="J272" s="6">
        <v>0</v>
      </c>
      <c r="K272" s="6">
        <v>0</v>
      </c>
      <c r="L272" s="6">
        <v>6.5309999999999997</v>
      </c>
      <c r="M272" s="6">
        <v>6.5309999999999997</v>
      </c>
      <c r="N272" s="6">
        <v>6.5309999999999997</v>
      </c>
      <c r="O272" s="6">
        <v>6.5309999999999997</v>
      </c>
      <c r="P272" s="6">
        <v>10</v>
      </c>
      <c r="Q272" s="4" t="s">
        <v>26</v>
      </c>
      <c r="R272" s="4">
        <v>0</v>
      </c>
      <c r="S272" s="4" t="s">
        <v>228</v>
      </c>
      <c r="T272" s="4" t="s">
        <v>377</v>
      </c>
      <c r="U272" s="4">
        <v>0</v>
      </c>
      <c r="V272" s="4">
        <v>61</v>
      </c>
      <c r="W272" s="4">
        <v>2</v>
      </c>
    </row>
    <row r="273" spans="1:23" ht="11.25" customHeight="1" x14ac:dyDescent="0.3">
      <c r="A273" s="4" t="s">
        <v>21</v>
      </c>
      <c r="B273" s="4" t="s">
        <v>36</v>
      </c>
      <c r="C273" s="4" t="s">
        <v>23</v>
      </c>
      <c r="D273" s="4" t="s">
        <v>43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44682</v>
      </c>
      <c r="J273" s="6">
        <v>0</v>
      </c>
      <c r="K273" s="6">
        <v>0</v>
      </c>
      <c r="L273" s="6">
        <v>7.01</v>
      </c>
      <c r="M273" s="6">
        <v>7.01</v>
      </c>
      <c r="N273" s="6">
        <v>7.01</v>
      </c>
      <c r="O273" s="6">
        <v>7.01</v>
      </c>
      <c r="P273" s="6">
        <v>10</v>
      </c>
      <c r="Q273" s="4" t="s">
        <v>26</v>
      </c>
      <c r="R273" s="4">
        <v>0</v>
      </c>
      <c r="S273" s="4" t="s">
        <v>229</v>
      </c>
      <c r="T273" s="4" t="s">
        <v>378</v>
      </c>
      <c r="U273" s="4">
        <v>0</v>
      </c>
      <c r="V273" s="4">
        <v>61</v>
      </c>
      <c r="W273" s="4">
        <v>2</v>
      </c>
    </row>
    <row r="274" spans="1:23" ht="11.25" customHeight="1" x14ac:dyDescent="0.3">
      <c r="A274" s="4" t="s">
        <v>21</v>
      </c>
      <c r="B274" s="4" t="s">
        <v>36</v>
      </c>
      <c r="C274" s="4" t="s">
        <v>23</v>
      </c>
      <c r="D274" s="4" t="s">
        <v>43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44713</v>
      </c>
      <c r="J274" s="6">
        <v>0</v>
      </c>
      <c r="K274" s="6">
        <v>0</v>
      </c>
      <c r="L274" s="6">
        <v>5.4660000000000002</v>
      </c>
      <c r="M274" s="6">
        <v>5.4660000000000002</v>
      </c>
      <c r="N274" s="6">
        <v>5.4660000000000002</v>
      </c>
      <c r="O274" s="6">
        <v>5.4660000000000002</v>
      </c>
      <c r="P274" s="6">
        <v>10</v>
      </c>
      <c r="Q274" s="4" t="s">
        <v>26</v>
      </c>
      <c r="R274" s="4">
        <v>0</v>
      </c>
      <c r="S274" s="4" t="s">
        <v>230</v>
      </c>
      <c r="T274" s="4" t="s">
        <v>379</v>
      </c>
      <c r="U274" s="4">
        <v>0</v>
      </c>
      <c r="V274" s="4">
        <v>61</v>
      </c>
      <c r="W274" s="4">
        <v>2</v>
      </c>
    </row>
    <row r="275" spans="1:23" ht="11.25" customHeight="1" x14ac:dyDescent="0.3">
      <c r="A275" s="4" t="s">
        <v>21</v>
      </c>
      <c r="B275" s="4" t="s">
        <v>36</v>
      </c>
      <c r="C275" s="4" t="s">
        <v>23</v>
      </c>
      <c r="D275" s="4" t="s">
        <v>43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44743</v>
      </c>
      <c r="J275" s="6">
        <v>0</v>
      </c>
      <c r="K275" s="6">
        <v>0</v>
      </c>
      <c r="L275" s="6">
        <v>5.9020000000000001</v>
      </c>
      <c r="M275" s="6">
        <v>5.9020000000000001</v>
      </c>
      <c r="N275" s="6">
        <v>5.9020000000000001</v>
      </c>
      <c r="O275" s="6">
        <v>5.9020000000000001</v>
      </c>
      <c r="P275" s="6">
        <v>10</v>
      </c>
      <c r="Q275" s="4" t="s">
        <v>26</v>
      </c>
      <c r="R275" s="4">
        <v>0</v>
      </c>
      <c r="S275" s="4" t="s">
        <v>231</v>
      </c>
      <c r="T275" s="4" t="s">
        <v>380</v>
      </c>
      <c r="U275" s="4">
        <v>0</v>
      </c>
      <c r="V275" s="4">
        <v>61</v>
      </c>
      <c r="W275" s="4">
        <v>2</v>
      </c>
    </row>
    <row r="276" spans="1:23" ht="11.25" customHeight="1" x14ac:dyDescent="0.3">
      <c r="A276" s="4" t="s">
        <v>21</v>
      </c>
      <c r="B276" s="4" t="s">
        <v>36</v>
      </c>
      <c r="C276" s="4" t="s">
        <v>23</v>
      </c>
      <c r="D276" s="4" t="s">
        <v>43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44774</v>
      </c>
      <c r="J276" s="6">
        <v>0</v>
      </c>
      <c r="K276" s="6">
        <v>0</v>
      </c>
      <c r="L276" s="6">
        <v>5.8460000000000001</v>
      </c>
      <c r="M276" s="6">
        <v>5.8460000000000001</v>
      </c>
      <c r="N276" s="6">
        <v>5.8460000000000001</v>
      </c>
      <c r="O276" s="6">
        <v>5.8460000000000001</v>
      </c>
      <c r="P276" s="6">
        <v>10</v>
      </c>
      <c r="Q276" s="4" t="s">
        <v>26</v>
      </c>
      <c r="R276" s="4">
        <v>0</v>
      </c>
      <c r="S276" s="4" t="s">
        <v>232</v>
      </c>
      <c r="T276" s="4" t="s">
        <v>381</v>
      </c>
      <c r="U276" s="4">
        <v>0</v>
      </c>
      <c r="V276" s="4">
        <v>61</v>
      </c>
      <c r="W276" s="4">
        <v>2</v>
      </c>
    </row>
    <row r="277" spans="1:23" ht="11.25" customHeight="1" x14ac:dyDescent="0.3">
      <c r="A277" s="4" t="s">
        <v>21</v>
      </c>
      <c r="B277" s="4" t="s">
        <v>36</v>
      </c>
      <c r="C277" s="4" t="s">
        <v>23</v>
      </c>
      <c r="D277" s="4" t="s">
        <v>47</v>
      </c>
      <c r="E277" s="4" t="s">
        <v>48</v>
      </c>
      <c r="F277" s="4" t="s">
        <v>25</v>
      </c>
      <c r="G277" s="4" t="s">
        <v>25</v>
      </c>
      <c r="H277" s="4" t="s">
        <v>25</v>
      </c>
      <c r="I277" s="5">
        <v>44440</v>
      </c>
      <c r="J277" s="6">
        <v>0</v>
      </c>
      <c r="K277" s="6">
        <v>0</v>
      </c>
      <c r="L277" s="6">
        <v>25.248000000000001</v>
      </c>
      <c r="M277" s="6">
        <v>23.73312</v>
      </c>
      <c r="N277" s="6">
        <v>25.248000000000001</v>
      </c>
      <c r="O277" s="6">
        <v>23.73312</v>
      </c>
      <c r="P277" s="6">
        <v>6</v>
      </c>
      <c r="Q277" s="4" t="s">
        <v>26</v>
      </c>
      <c r="R277" s="4">
        <v>0</v>
      </c>
      <c r="S277" s="4" t="s">
        <v>221</v>
      </c>
      <c r="T277" s="4" t="s">
        <v>370</v>
      </c>
      <c r="U277" s="4">
        <v>0</v>
      </c>
      <c r="V277" s="4">
        <v>61</v>
      </c>
      <c r="W277" s="4">
        <v>2</v>
      </c>
    </row>
    <row r="278" spans="1:23" ht="11.25" customHeight="1" x14ac:dyDescent="0.3">
      <c r="A278" s="4" t="s">
        <v>21</v>
      </c>
      <c r="B278" s="4" t="s">
        <v>36</v>
      </c>
      <c r="C278" s="4" t="s">
        <v>23</v>
      </c>
      <c r="D278" s="4" t="s">
        <v>47</v>
      </c>
      <c r="E278" s="4" t="s">
        <v>48</v>
      </c>
      <c r="F278" s="4" t="s">
        <v>25</v>
      </c>
      <c r="G278" s="4" t="s">
        <v>25</v>
      </c>
      <c r="H278" s="4" t="s">
        <v>25</v>
      </c>
      <c r="I278" s="5">
        <v>44470</v>
      </c>
      <c r="J278" s="6">
        <v>0</v>
      </c>
      <c r="K278" s="6">
        <v>0</v>
      </c>
      <c r="L278" s="6">
        <v>28.202000000000002</v>
      </c>
      <c r="M278" s="6">
        <v>26.509879999999999</v>
      </c>
      <c r="N278" s="6">
        <v>28.202000000000002</v>
      </c>
      <c r="O278" s="6">
        <v>26.509879999999999</v>
      </c>
      <c r="P278" s="6">
        <v>6</v>
      </c>
      <c r="Q278" s="4" t="s">
        <v>26</v>
      </c>
      <c r="R278" s="4">
        <v>0</v>
      </c>
      <c r="S278" s="4" t="s">
        <v>222</v>
      </c>
      <c r="T278" s="4" t="s">
        <v>371</v>
      </c>
      <c r="U278" s="4">
        <v>0</v>
      </c>
      <c r="V278" s="4">
        <v>61</v>
      </c>
      <c r="W278" s="4">
        <v>2</v>
      </c>
    </row>
    <row r="279" spans="1:23" ht="11.25" customHeight="1" x14ac:dyDescent="0.3">
      <c r="A279" s="4" t="s">
        <v>21</v>
      </c>
      <c r="B279" s="4" t="s">
        <v>36</v>
      </c>
      <c r="C279" s="4" t="s">
        <v>23</v>
      </c>
      <c r="D279" s="4" t="s">
        <v>47</v>
      </c>
      <c r="E279" s="4" t="s">
        <v>48</v>
      </c>
      <c r="F279" s="4" t="s">
        <v>25</v>
      </c>
      <c r="G279" s="4" t="s">
        <v>25</v>
      </c>
      <c r="H279" s="4" t="s">
        <v>25</v>
      </c>
      <c r="I279" s="5">
        <v>44501</v>
      </c>
      <c r="J279" s="6">
        <v>0</v>
      </c>
      <c r="K279" s="6">
        <v>0</v>
      </c>
      <c r="L279" s="6">
        <v>26.925000000000001</v>
      </c>
      <c r="M279" s="6">
        <v>25.3095</v>
      </c>
      <c r="N279" s="6">
        <v>26.925000000000001</v>
      </c>
      <c r="O279" s="6">
        <v>25.3095</v>
      </c>
      <c r="P279" s="6">
        <v>6</v>
      </c>
      <c r="Q279" s="4" t="s">
        <v>26</v>
      </c>
      <c r="R279" s="4">
        <v>0</v>
      </c>
      <c r="S279" s="4" t="s">
        <v>223</v>
      </c>
      <c r="T279" s="4" t="s">
        <v>372</v>
      </c>
      <c r="U279" s="4">
        <v>0</v>
      </c>
      <c r="V279" s="4">
        <v>61</v>
      </c>
      <c r="W279" s="4">
        <v>2</v>
      </c>
    </row>
    <row r="280" spans="1:23" ht="11.25" customHeight="1" x14ac:dyDescent="0.3">
      <c r="A280" s="4" t="s">
        <v>21</v>
      </c>
      <c r="B280" s="4" t="s">
        <v>36</v>
      </c>
      <c r="C280" s="4" t="s">
        <v>23</v>
      </c>
      <c r="D280" s="4" t="s">
        <v>47</v>
      </c>
      <c r="E280" s="4" t="s">
        <v>48</v>
      </c>
      <c r="F280" s="4" t="s">
        <v>25</v>
      </c>
      <c r="G280" s="4" t="s">
        <v>25</v>
      </c>
      <c r="H280" s="4" t="s">
        <v>25</v>
      </c>
      <c r="I280" s="5">
        <v>44531</v>
      </c>
      <c r="J280" s="6">
        <v>0</v>
      </c>
      <c r="K280" s="6">
        <v>0</v>
      </c>
      <c r="L280" s="6">
        <v>27.533000000000001</v>
      </c>
      <c r="M280" s="6">
        <v>25.881019999999999</v>
      </c>
      <c r="N280" s="6">
        <v>27.533000000000001</v>
      </c>
      <c r="O280" s="6">
        <v>25.881019999999999</v>
      </c>
      <c r="P280" s="6">
        <v>6</v>
      </c>
      <c r="Q280" s="4" t="s">
        <v>26</v>
      </c>
      <c r="R280" s="4">
        <v>0</v>
      </c>
      <c r="S280" s="4" t="s">
        <v>224</v>
      </c>
      <c r="T280" s="4" t="s">
        <v>373</v>
      </c>
      <c r="U280" s="4">
        <v>0</v>
      </c>
      <c r="V280" s="4">
        <v>61</v>
      </c>
      <c r="W280" s="4">
        <v>2</v>
      </c>
    </row>
    <row r="281" spans="1:23" ht="11.25" customHeight="1" x14ac:dyDescent="0.3">
      <c r="A281" s="4" t="s">
        <v>21</v>
      </c>
      <c r="B281" s="4" t="s">
        <v>36</v>
      </c>
      <c r="C281" s="4" t="s">
        <v>23</v>
      </c>
      <c r="D281" s="4" t="s">
        <v>47</v>
      </c>
      <c r="E281" s="4" t="s">
        <v>48</v>
      </c>
      <c r="F281" s="4" t="s">
        <v>25</v>
      </c>
      <c r="G281" s="4" t="s">
        <v>25</v>
      </c>
      <c r="H281" s="4" t="s">
        <v>25</v>
      </c>
      <c r="I281" s="5">
        <v>44562</v>
      </c>
      <c r="J281" s="6">
        <v>0</v>
      </c>
      <c r="K281" s="6">
        <v>0</v>
      </c>
      <c r="L281" s="6">
        <v>37.966000000000001</v>
      </c>
      <c r="M281" s="6">
        <v>35.688040000000001</v>
      </c>
      <c r="N281" s="6">
        <v>37.966000000000001</v>
      </c>
      <c r="O281" s="6">
        <v>35.688040000000001</v>
      </c>
      <c r="P281" s="6">
        <v>6</v>
      </c>
      <c r="Q281" s="4" t="s">
        <v>26</v>
      </c>
      <c r="R281" s="4">
        <v>0</v>
      </c>
      <c r="S281" s="4" t="s">
        <v>225</v>
      </c>
      <c r="T281" s="4" t="s">
        <v>374</v>
      </c>
      <c r="U281" s="4">
        <v>0</v>
      </c>
      <c r="V281" s="4">
        <v>61</v>
      </c>
      <c r="W281" s="4">
        <v>2</v>
      </c>
    </row>
    <row r="282" spans="1:23" ht="11.25" customHeight="1" x14ac:dyDescent="0.3">
      <c r="A282" s="4" t="s">
        <v>21</v>
      </c>
      <c r="B282" s="4" t="s">
        <v>36</v>
      </c>
      <c r="C282" s="4" t="s">
        <v>23</v>
      </c>
      <c r="D282" s="4" t="s">
        <v>47</v>
      </c>
      <c r="E282" s="4" t="s">
        <v>48</v>
      </c>
      <c r="F282" s="4" t="s">
        <v>25</v>
      </c>
      <c r="G282" s="4" t="s">
        <v>25</v>
      </c>
      <c r="H282" s="4" t="s">
        <v>25</v>
      </c>
      <c r="I282" s="5">
        <v>44593</v>
      </c>
      <c r="J282" s="6">
        <v>0</v>
      </c>
      <c r="K282" s="6">
        <v>0</v>
      </c>
      <c r="L282" s="6">
        <v>30.204000000000001</v>
      </c>
      <c r="M282" s="6">
        <v>28.391760000000001</v>
      </c>
      <c r="N282" s="6">
        <v>30.204000000000001</v>
      </c>
      <c r="O282" s="6">
        <v>28.391760000000001</v>
      </c>
      <c r="P282" s="6">
        <v>6</v>
      </c>
      <c r="Q282" s="4" t="s">
        <v>26</v>
      </c>
      <c r="R282" s="4">
        <v>0</v>
      </c>
      <c r="S282" s="4" t="s">
        <v>226</v>
      </c>
      <c r="T282" s="4" t="s">
        <v>375</v>
      </c>
      <c r="U282" s="4">
        <v>0</v>
      </c>
      <c r="V282" s="4">
        <v>61</v>
      </c>
      <c r="W282" s="4">
        <v>2</v>
      </c>
    </row>
    <row r="283" spans="1:23" ht="11.25" customHeight="1" x14ac:dyDescent="0.3">
      <c r="A283" s="4" t="s">
        <v>21</v>
      </c>
      <c r="B283" s="4" t="s">
        <v>36</v>
      </c>
      <c r="C283" s="4" t="s">
        <v>23</v>
      </c>
      <c r="D283" s="4" t="s">
        <v>47</v>
      </c>
      <c r="E283" s="4" t="s">
        <v>48</v>
      </c>
      <c r="F283" s="4" t="s">
        <v>25</v>
      </c>
      <c r="G283" s="4" t="s">
        <v>25</v>
      </c>
      <c r="H283" s="4" t="s">
        <v>25</v>
      </c>
      <c r="I283" s="5">
        <v>44621</v>
      </c>
      <c r="J283" s="6">
        <v>0</v>
      </c>
      <c r="K283" s="6">
        <v>0</v>
      </c>
      <c r="L283" s="6">
        <v>24.367000000000001</v>
      </c>
      <c r="M283" s="6">
        <v>22.904979999999998</v>
      </c>
      <c r="N283" s="6">
        <v>24.367000000000001</v>
      </c>
      <c r="O283" s="6">
        <v>22.904979999999998</v>
      </c>
      <c r="P283" s="6">
        <v>6</v>
      </c>
      <c r="Q283" s="4" t="s">
        <v>26</v>
      </c>
      <c r="R283" s="4">
        <v>0</v>
      </c>
      <c r="S283" s="4" t="s">
        <v>227</v>
      </c>
      <c r="T283" s="4" t="s">
        <v>376</v>
      </c>
      <c r="U283" s="4">
        <v>0</v>
      </c>
      <c r="V283" s="4">
        <v>61</v>
      </c>
      <c r="W283" s="4">
        <v>2</v>
      </c>
    </row>
    <row r="284" spans="1:23" ht="11.25" customHeight="1" x14ac:dyDescent="0.3">
      <c r="A284" s="4" t="s">
        <v>21</v>
      </c>
      <c r="B284" s="4" t="s">
        <v>36</v>
      </c>
      <c r="C284" s="4" t="s">
        <v>23</v>
      </c>
      <c r="D284" s="4" t="s">
        <v>47</v>
      </c>
      <c r="E284" s="4" t="s">
        <v>48</v>
      </c>
      <c r="F284" s="4" t="s">
        <v>25</v>
      </c>
      <c r="G284" s="4" t="s">
        <v>25</v>
      </c>
      <c r="H284" s="4" t="s">
        <v>25</v>
      </c>
      <c r="I284" s="5">
        <v>44652</v>
      </c>
      <c r="J284" s="6">
        <v>0</v>
      </c>
      <c r="K284" s="6">
        <v>0</v>
      </c>
      <c r="L284" s="6">
        <v>41.77</v>
      </c>
      <c r="M284" s="6">
        <v>39.263800000000003</v>
      </c>
      <c r="N284" s="6">
        <v>41.77</v>
      </c>
      <c r="O284" s="6">
        <v>39.263800000000003</v>
      </c>
      <c r="P284" s="6">
        <v>6</v>
      </c>
      <c r="Q284" s="4" t="s">
        <v>26</v>
      </c>
      <c r="R284" s="4">
        <v>0</v>
      </c>
      <c r="S284" s="4" t="s">
        <v>228</v>
      </c>
      <c r="T284" s="4" t="s">
        <v>377</v>
      </c>
      <c r="U284" s="4">
        <v>0</v>
      </c>
      <c r="V284" s="4">
        <v>61</v>
      </c>
      <c r="W284" s="4">
        <v>2</v>
      </c>
    </row>
    <row r="285" spans="1:23" ht="11.25" customHeight="1" x14ac:dyDescent="0.3">
      <c r="A285" s="4" t="s">
        <v>21</v>
      </c>
      <c r="B285" s="4" t="s">
        <v>36</v>
      </c>
      <c r="C285" s="4" t="s">
        <v>23</v>
      </c>
      <c r="D285" s="4" t="s">
        <v>47</v>
      </c>
      <c r="E285" s="4" t="s">
        <v>48</v>
      </c>
      <c r="F285" s="4" t="s">
        <v>25</v>
      </c>
      <c r="G285" s="4" t="s">
        <v>25</v>
      </c>
      <c r="H285" s="4" t="s">
        <v>25</v>
      </c>
      <c r="I285" s="5">
        <v>44682</v>
      </c>
      <c r="J285" s="6">
        <v>0</v>
      </c>
      <c r="K285" s="6">
        <v>0</v>
      </c>
      <c r="L285" s="6">
        <v>37.753</v>
      </c>
      <c r="M285" s="6">
        <v>35.487819999999999</v>
      </c>
      <c r="N285" s="6">
        <v>37.753</v>
      </c>
      <c r="O285" s="6">
        <v>35.487819999999999</v>
      </c>
      <c r="P285" s="6">
        <v>6</v>
      </c>
      <c r="Q285" s="4" t="s">
        <v>26</v>
      </c>
      <c r="R285" s="4">
        <v>0</v>
      </c>
      <c r="S285" s="4" t="s">
        <v>229</v>
      </c>
      <c r="T285" s="4" t="s">
        <v>378</v>
      </c>
      <c r="U285" s="4">
        <v>0</v>
      </c>
      <c r="V285" s="4">
        <v>61</v>
      </c>
      <c r="W285" s="4">
        <v>2</v>
      </c>
    </row>
    <row r="286" spans="1:23" ht="11.25" customHeight="1" x14ac:dyDescent="0.3">
      <c r="A286" s="4" t="s">
        <v>21</v>
      </c>
      <c r="B286" s="4" t="s">
        <v>36</v>
      </c>
      <c r="C286" s="4" t="s">
        <v>23</v>
      </c>
      <c r="D286" s="4" t="s">
        <v>47</v>
      </c>
      <c r="E286" s="4" t="s">
        <v>48</v>
      </c>
      <c r="F286" s="4" t="s">
        <v>25</v>
      </c>
      <c r="G286" s="4" t="s">
        <v>25</v>
      </c>
      <c r="H286" s="4" t="s">
        <v>25</v>
      </c>
      <c r="I286" s="5">
        <v>44713</v>
      </c>
      <c r="J286" s="6">
        <v>0</v>
      </c>
      <c r="K286" s="6">
        <v>0</v>
      </c>
      <c r="L286" s="6">
        <v>20.911000000000001</v>
      </c>
      <c r="M286" s="6">
        <v>19.65634</v>
      </c>
      <c r="N286" s="6">
        <v>20.911000000000001</v>
      </c>
      <c r="O286" s="6">
        <v>19.65634</v>
      </c>
      <c r="P286" s="6">
        <v>6</v>
      </c>
      <c r="Q286" s="4" t="s">
        <v>26</v>
      </c>
      <c r="R286" s="4">
        <v>0</v>
      </c>
      <c r="S286" s="4" t="s">
        <v>230</v>
      </c>
      <c r="T286" s="4" t="s">
        <v>379</v>
      </c>
      <c r="U286" s="4">
        <v>0</v>
      </c>
      <c r="V286" s="4">
        <v>61</v>
      </c>
      <c r="W286" s="4">
        <v>2</v>
      </c>
    </row>
    <row r="287" spans="1:23" ht="11.25" customHeight="1" x14ac:dyDescent="0.3">
      <c r="A287" s="4" t="s">
        <v>21</v>
      </c>
      <c r="B287" s="4" t="s">
        <v>36</v>
      </c>
      <c r="C287" s="4" t="s">
        <v>23</v>
      </c>
      <c r="D287" s="4" t="s">
        <v>47</v>
      </c>
      <c r="E287" s="4" t="s">
        <v>48</v>
      </c>
      <c r="F287" s="4" t="s">
        <v>25</v>
      </c>
      <c r="G287" s="4" t="s">
        <v>25</v>
      </c>
      <c r="H287" s="4" t="s">
        <v>25</v>
      </c>
      <c r="I287" s="5">
        <v>44743</v>
      </c>
      <c r="J287" s="6">
        <v>0</v>
      </c>
      <c r="K287" s="6">
        <v>0</v>
      </c>
      <c r="L287" s="6">
        <v>28.986999999999998</v>
      </c>
      <c r="M287" s="6">
        <v>27.247779999999999</v>
      </c>
      <c r="N287" s="6">
        <v>28.986999999999998</v>
      </c>
      <c r="O287" s="6">
        <v>27.247779999999999</v>
      </c>
      <c r="P287" s="6">
        <v>6</v>
      </c>
      <c r="Q287" s="4" t="s">
        <v>26</v>
      </c>
      <c r="R287" s="4">
        <v>0</v>
      </c>
      <c r="S287" s="4" t="s">
        <v>231</v>
      </c>
      <c r="T287" s="4" t="s">
        <v>380</v>
      </c>
      <c r="U287" s="4">
        <v>0</v>
      </c>
      <c r="V287" s="4">
        <v>61</v>
      </c>
      <c r="W287" s="4">
        <v>2</v>
      </c>
    </row>
    <row r="288" spans="1:23" ht="11.25" customHeight="1" x14ac:dyDescent="0.3">
      <c r="A288" s="4" t="s">
        <v>21</v>
      </c>
      <c r="B288" s="4" t="s">
        <v>36</v>
      </c>
      <c r="C288" s="4" t="s">
        <v>23</v>
      </c>
      <c r="D288" s="4" t="s">
        <v>47</v>
      </c>
      <c r="E288" s="4" t="s">
        <v>48</v>
      </c>
      <c r="F288" s="4" t="s">
        <v>25</v>
      </c>
      <c r="G288" s="4" t="s">
        <v>25</v>
      </c>
      <c r="H288" s="4" t="s">
        <v>25</v>
      </c>
      <c r="I288" s="5">
        <v>44774</v>
      </c>
      <c r="J288" s="6">
        <v>0</v>
      </c>
      <c r="K288" s="6">
        <v>0</v>
      </c>
      <c r="L288" s="6">
        <v>29.271999999999998</v>
      </c>
      <c r="M288" s="6">
        <v>27.51568</v>
      </c>
      <c r="N288" s="6">
        <v>29.271999999999998</v>
      </c>
      <c r="O288" s="6">
        <v>27.51568</v>
      </c>
      <c r="P288" s="6">
        <v>6</v>
      </c>
      <c r="Q288" s="4" t="s">
        <v>26</v>
      </c>
      <c r="R288" s="4">
        <v>0</v>
      </c>
      <c r="S288" s="4" t="s">
        <v>232</v>
      </c>
      <c r="T288" s="4" t="s">
        <v>381</v>
      </c>
      <c r="U288" s="4">
        <v>0</v>
      </c>
      <c r="V288" s="4">
        <v>61</v>
      </c>
      <c r="W288" s="4">
        <v>2</v>
      </c>
    </row>
    <row r="289" spans="1:23" ht="11.25" customHeight="1" x14ac:dyDescent="0.3">
      <c r="A289" s="4" t="s">
        <v>21</v>
      </c>
      <c r="B289" s="4" t="s">
        <v>44</v>
      </c>
      <c r="C289" s="4" t="s">
        <v>23</v>
      </c>
      <c r="D289" s="4" t="s">
        <v>45</v>
      </c>
      <c r="E289" s="4" t="s">
        <v>46</v>
      </c>
      <c r="F289" s="4" t="s">
        <v>25</v>
      </c>
      <c r="G289" s="4" t="s">
        <v>25</v>
      </c>
      <c r="H289" s="4" t="s">
        <v>25</v>
      </c>
      <c r="I289" s="5">
        <v>44440</v>
      </c>
      <c r="J289" s="6">
        <v>0</v>
      </c>
      <c r="K289" s="6">
        <v>0</v>
      </c>
      <c r="L289" s="6">
        <v>43.204999999999998</v>
      </c>
      <c r="M289" s="6">
        <v>43.204999999999998</v>
      </c>
      <c r="N289" s="6">
        <v>43.204999999999998</v>
      </c>
      <c r="O289" s="6">
        <v>43.204999999999998</v>
      </c>
      <c r="P289" s="6">
        <v>3</v>
      </c>
      <c r="Q289" s="4" t="s">
        <v>26</v>
      </c>
      <c r="R289" s="4">
        <v>0</v>
      </c>
      <c r="S289" s="4" t="s">
        <v>233</v>
      </c>
      <c r="T289" s="4" t="s">
        <v>382</v>
      </c>
      <c r="U289" s="4">
        <v>0</v>
      </c>
      <c r="V289" s="4">
        <v>67</v>
      </c>
      <c r="W289" s="4">
        <v>7</v>
      </c>
    </row>
    <row r="290" spans="1:23" ht="11.25" customHeight="1" x14ac:dyDescent="0.3">
      <c r="A290" s="4" t="s">
        <v>21</v>
      </c>
      <c r="B290" s="4" t="s">
        <v>44</v>
      </c>
      <c r="C290" s="4" t="s">
        <v>23</v>
      </c>
      <c r="D290" s="4" t="s">
        <v>45</v>
      </c>
      <c r="E290" s="4" t="s">
        <v>46</v>
      </c>
      <c r="F290" s="4" t="s">
        <v>25</v>
      </c>
      <c r="G290" s="4" t="s">
        <v>25</v>
      </c>
      <c r="H290" s="4" t="s">
        <v>25</v>
      </c>
      <c r="I290" s="5">
        <v>44470</v>
      </c>
      <c r="J290" s="6">
        <v>0</v>
      </c>
      <c r="K290" s="6">
        <v>0</v>
      </c>
      <c r="L290" s="6">
        <v>44.646999999999998</v>
      </c>
      <c r="M290" s="6">
        <v>44.646999999999998</v>
      </c>
      <c r="N290" s="6">
        <v>44.646999999999998</v>
      </c>
      <c r="O290" s="6">
        <v>44.646999999999998</v>
      </c>
      <c r="P290" s="6">
        <v>3</v>
      </c>
      <c r="Q290" s="4" t="s">
        <v>26</v>
      </c>
      <c r="R290" s="4">
        <v>0</v>
      </c>
      <c r="S290" s="4" t="s">
        <v>234</v>
      </c>
      <c r="T290" s="4" t="s">
        <v>383</v>
      </c>
      <c r="U290" s="4">
        <v>0</v>
      </c>
      <c r="V290" s="4">
        <v>67</v>
      </c>
      <c r="W290" s="4">
        <v>7</v>
      </c>
    </row>
    <row r="291" spans="1:23" ht="11.25" customHeight="1" x14ac:dyDescent="0.3">
      <c r="A291" s="4" t="s">
        <v>21</v>
      </c>
      <c r="B291" s="4" t="s">
        <v>44</v>
      </c>
      <c r="C291" s="4" t="s">
        <v>23</v>
      </c>
      <c r="D291" s="4" t="s">
        <v>45</v>
      </c>
      <c r="E291" s="4" t="s">
        <v>46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45.448</v>
      </c>
      <c r="M291" s="6">
        <v>45.448</v>
      </c>
      <c r="N291" s="6">
        <v>45.448</v>
      </c>
      <c r="O291" s="6">
        <v>45.448</v>
      </c>
      <c r="P291" s="6">
        <v>3</v>
      </c>
      <c r="Q291" s="4" t="s">
        <v>26</v>
      </c>
      <c r="R291" s="4">
        <v>0</v>
      </c>
      <c r="S291" s="4" t="s">
        <v>235</v>
      </c>
      <c r="T291" s="4" t="s">
        <v>384</v>
      </c>
      <c r="U291" s="4">
        <v>0</v>
      </c>
      <c r="V291" s="4">
        <v>67</v>
      </c>
      <c r="W291" s="4">
        <v>7</v>
      </c>
    </row>
    <row r="292" spans="1:23" ht="11.25" customHeight="1" x14ac:dyDescent="0.3">
      <c r="A292" s="4" t="s">
        <v>21</v>
      </c>
      <c r="B292" s="4" t="s">
        <v>44</v>
      </c>
      <c r="C292" s="4" t="s">
        <v>23</v>
      </c>
      <c r="D292" s="4" t="s">
        <v>45</v>
      </c>
      <c r="E292" s="4" t="s">
        <v>46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46.963999999999999</v>
      </c>
      <c r="M292" s="6">
        <v>46.963999999999999</v>
      </c>
      <c r="N292" s="6">
        <v>46.963999999999999</v>
      </c>
      <c r="O292" s="6">
        <v>46.963999999999999</v>
      </c>
      <c r="P292" s="6">
        <v>3</v>
      </c>
      <c r="Q292" s="4" t="s">
        <v>26</v>
      </c>
      <c r="R292" s="4">
        <v>0</v>
      </c>
      <c r="S292" s="4" t="s">
        <v>236</v>
      </c>
      <c r="T292" s="4" t="s">
        <v>385</v>
      </c>
      <c r="U292" s="4">
        <v>0</v>
      </c>
      <c r="V292" s="4">
        <v>67</v>
      </c>
      <c r="W292" s="4">
        <v>7</v>
      </c>
    </row>
    <row r="293" spans="1:23" ht="11.25" customHeight="1" x14ac:dyDescent="0.3">
      <c r="A293" s="4" t="s">
        <v>21</v>
      </c>
      <c r="B293" s="4" t="s">
        <v>44</v>
      </c>
      <c r="C293" s="4" t="s">
        <v>23</v>
      </c>
      <c r="D293" s="4" t="s">
        <v>45</v>
      </c>
      <c r="E293" s="4" t="s">
        <v>46</v>
      </c>
      <c r="F293" s="4" t="s">
        <v>25</v>
      </c>
      <c r="G293" s="4" t="s">
        <v>25</v>
      </c>
      <c r="H293" s="4" t="s">
        <v>25</v>
      </c>
      <c r="I293" s="5">
        <v>44562</v>
      </c>
      <c r="J293" s="6">
        <v>0</v>
      </c>
      <c r="K293" s="6">
        <v>0</v>
      </c>
      <c r="L293" s="6">
        <v>46.963999999999999</v>
      </c>
      <c r="M293" s="6">
        <v>46.963999999999999</v>
      </c>
      <c r="N293" s="6">
        <v>46.963999999999999</v>
      </c>
      <c r="O293" s="6">
        <v>46.963999999999999</v>
      </c>
      <c r="P293" s="6">
        <v>3</v>
      </c>
      <c r="Q293" s="4" t="s">
        <v>26</v>
      </c>
      <c r="R293" s="4">
        <v>0</v>
      </c>
      <c r="S293" s="4" t="s">
        <v>237</v>
      </c>
      <c r="T293" s="4" t="s">
        <v>386</v>
      </c>
      <c r="U293" s="4">
        <v>0</v>
      </c>
      <c r="V293" s="4">
        <v>67</v>
      </c>
      <c r="W293" s="4">
        <v>7</v>
      </c>
    </row>
    <row r="294" spans="1:23" ht="11.25" customHeight="1" x14ac:dyDescent="0.3">
      <c r="A294" s="4" t="s">
        <v>21</v>
      </c>
      <c r="B294" s="4" t="s">
        <v>44</v>
      </c>
      <c r="C294" s="4" t="s">
        <v>23</v>
      </c>
      <c r="D294" s="4" t="s">
        <v>45</v>
      </c>
      <c r="E294" s="4" t="s">
        <v>46</v>
      </c>
      <c r="F294" s="4" t="s">
        <v>25</v>
      </c>
      <c r="G294" s="4" t="s">
        <v>25</v>
      </c>
      <c r="H294" s="4" t="s">
        <v>25</v>
      </c>
      <c r="I294" s="5">
        <v>44593</v>
      </c>
      <c r="J294" s="6">
        <v>0</v>
      </c>
      <c r="K294" s="6">
        <v>0</v>
      </c>
      <c r="L294" s="6">
        <v>43.518000000000001</v>
      </c>
      <c r="M294" s="6">
        <v>43.518000000000001</v>
      </c>
      <c r="N294" s="6">
        <v>43.518000000000001</v>
      </c>
      <c r="O294" s="6">
        <v>43.518000000000001</v>
      </c>
      <c r="P294" s="6">
        <v>3</v>
      </c>
      <c r="Q294" s="4" t="s">
        <v>26</v>
      </c>
      <c r="R294" s="4">
        <v>0</v>
      </c>
      <c r="S294" s="4" t="s">
        <v>238</v>
      </c>
      <c r="T294" s="4" t="s">
        <v>387</v>
      </c>
      <c r="U294" s="4">
        <v>0</v>
      </c>
      <c r="V294" s="4">
        <v>67</v>
      </c>
      <c r="W294" s="4">
        <v>7</v>
      </c>
    </row>
    <row r="295" spans="1:23" ht="11.25" customHeight="1" x14ac:dyDescent="0.3">
      <c r="A295" s="4" t="s">
        <v>21</v>
      </c>
      <c r="B295" s="4" t="s">
        <v>44</v>
      </c>
      <c r="C295" s="4" t="s">
        <v>23</v>
      </c>
      <c r="D295" s="4" t="s">
        <v>45</v>
      </c>
      <c r="E295" s="4" t="s">
        <v>46</v>
      </c>
      <c r="F295" s="4" t="s">
        <v>25</v>
      </c>
      <c r="G295" s="4" t="s">
        <v>25</v>
      </c>
      <c r="H295" s="4" t="s">
        <v>25</v>
      </c>
      <c r="I295" s="5">
        <v>44621</v>
      </c>
      <c r="J295" s="6">
        <v>0</v>
      </c>
      <c r="K295" s="6">
        <v>0</v>
      </c>
      <c r="L295" s="6">
        <v>46.963999999999999</v>
      </c>
      <c r="M295" s="6">
        <v>46.963999999999999</v>
      </c>
      <c r="N295" s="6">
        <v>46.963999999999999</v>
      </c>
      <c r="O295" s="6">
        <v>46.963999999999999</v>
      </c>
      <c r="P295" s="6">
        <v>3</v>
      </c>
      <c r="Q295" s="4" t="s">
        <v>26</v>
      </c>
      <c r="R295" s="4">
        <v>0</v>
      </c>
      <c r="S295" s="4" t="s">
        <v>239</v>
      </c>
      <c r="T295" s="4" t="s">
        <v>388</v>
      </c>
      <c r="U295" s="4">
        <v>0</v>
      </c>
      <c r="V295" s="4">
        <v>67</v>
      </c>
      <c r="W295" s="4">
        <v>7</v>
      </c>
    </row>
    <row r="296" spans="1:23" ht="11.25" customHeight="1" x14ac:dyDescent="0.3">
      <c r="A296" s="4" t="s">
        <v>21</v>
      </c>
      <c r="B296" s="4" t="s">
        <v>44</v>
      </c>
      <c r="C296" s="4" t="s">
        <v>23</v>
      </c>
      <c r="D296" s="4" t="s">
        <v>45</v>
      </c>
      <c r="E296" s="4" t="s">
        <v>46</v>
      </c>
      <c r="F296" s="4" t="s">
        <v>25</v>
      </c>
      <c r="G296" s="4" t="s">
        <v>25</v>
      </c>
      <c r="H296" s="4" t="s">
        <v>25</v>
      </c>
      <c r="I296" s="5">
        <v>44652</v>
      </c>
      <c r="J296" s="6">
        <v>0</v>
      </c>
      <c r="K296" s="6">
        <v>0</v>
      </c>
      <c r="L296" s="6">
        <v>42.676000000000002</v>
      </c>
      <c r="M296" s="6">
        <v>42.676000000000002</v>
      </c>
      <c r="N296" s="6">
        <v>42.676000000000002</v>
      </c>
      <c r="O296" s="6">
        <v>42.676000000000002</v>
      </c>
      <c r="P296" s="6">
        <v>3</v>
      </c>
      <c r="Q296" s="4" t="s">
        <v>26</v>
      </c>
      <c r="R296" s="4">
        <v>0</v>
      </c>
      <c r="S296" s="4" t="s">
        <v>240</v>
      </c>
      <c r="T296" s="4" t="s">
        <v>389</v>
      </c>
      <c r="U296" s="4">
        <v>0</v>
      </c>
      <c r="V296" s="4">
        <v>67</v>
      </c>
      <c r="W296" s="4">
        <v>7</v>
      </c>
    </row>
    <row r="297" spans="1:23" ht="11.25" customHeight="1" x14ac:dyDescent="0.3">
      <c r="A297" s="4" t="s">
        <v>21</v>
      </c>
      <c r="B297" s="4" t="s">
        <v>44</v>
      </c>
      <c r="C297" s="4" t="s">
        <v>23</v>
      </c>
      <c r="D297" s="4" t="s">
        <v>45</v>
      </c>
      <c r="E297" s="4" t="s">
        <v>46</v>
      </c>
      <c r="F297" s="4" t="s">
        <v>25</v>
      </c>
      <c r="G297" s="4" t="s">
        <v>25</v>
      </c>
      <c r="H297" s="4" t="s">
        <v>25</v>
      </c>
      <c r="I297" s="5">
        <v>44682</v>
      </c>
      <c r="J297" s="6">
        <v>0</v>
      </c>
      <c r="K297" s="6">
        <v>0</v>
      </c>
      <c r="L297" s="6">
        <v>46.963999999999999</v>
      </c>
      <c r="M297" s="6">
        <v>46.963999999999999</v>
      </c>
      <c r="N297" s="6">
        <v>46.963999999999999</v>
      </c>
      <c r="O297" s="6">
        <v>46.963999999999999</v>
      </c>
      <c r="P297" s="6">
        <v>3</v>
      </c>
      <c r="Q297" s="4" t="s">
        <v>26</v>
      </c>
      <c r="R297" s="4">
        <v>0</v>
      </c>
      <c r="S297" s="4" t="s">
        <v>241</v>
      </c>
      <c r="T297" s="4" t="s">
        <v>390</v>
      </c>
      <c r="U297" s="4">
        <v>0</v>
      </c>
      <c r="V297" s="4">
        <v>67</v>
      </c>
      <c r="W297" s="4">
        <v>7</v>
      </c>
    </row>
    <row r="298" spans="1:23" ht="11.25" customHeight="1" x14ac:dyDescent="0.3">
      <c r="A298" s="4" t="s">
        <v>21</v>
      </c>
      <c r="B298" s="4" t="s">
        <v>44</v>
      </c>
      <c r="C298" s="4" t="s">
        <v>23</v>
      </c>
      <c r="D298" s="4" t="s">
        <v>45</v>
      </c>
      <c r="E298" s="4" t="s">
        <v>46</v>
      </c>
      <c r="F298" s="4" t="s">
        <v>25</v>
      </c>
      <c r="G298" s="4" t="s">
        <v>25</v>
      </c>
      <c r="H298" s="4" t="s">
        <v>25</v>
      </c>
      <c r="I298" s="5">
        <v>44713</v>
      </c>
      <c r="J298" s="6">
        <v>0</v>
      </c>
      <c r="K298" s="6">
        <v>0</v>
      </c>
      <c r="L298" s="6">
        <v>45.448</v>
      </c>
      <c r="M298" s="6">
        <v>45.448</v>
      </c>
      <c r="N298" s="6">
        <v>45.448</v>
      </c>
      <c r="O298" s="6">
        <v>45.448</v>
      </c>
      <c r="P298" s="6">
        <v>3</v>
      </c>
      <c r="Q298" s="4" t="s">
        <v>26</v>
      </c>
      <c r="R298" s="4">
        <v>0</v>
      </c>
      <c r="S298" s="4" t="s">
        <v>242</v>
      </c>
      <c r="T298" s="4" t="s">
        <v>391</v>
      </c>
      <c r="U298" s="4">
        <v>0</v>
      </c>
      <c r="V298" s="4">
        <v>67</v>
      </c>
      <c r="W298" s="4">
        <v>7</v>
      </c>
    </row>
    <row r="299" spans="1:23" ht="11.25" customHeight="1" x14ac:dyDescent="0.3">
      <c r="A299" s="4" t="s">
        <v>21</v>
      </c>
      <c r="B299" s="4" t="s">
        <v>44</v>
      </c>
      <c r="C299" s="4" t="s">
        <v>23</v>
      </c>
      <c r="D299" s="4" t="s">
        <v>45</v>
      </c>
      <c r="E299" s="4" t="s">
        <v>46</v>
      </c>
      <c r="F299" s="4" t="s">
        <v>25</v>
      </c>
      <c r="G299" s="4" t="s">
        <v>25</v>
      </c>
      <c r="H299" s="4" t="s">
        <v>25</v>
      </c>
      <c r="I299" s="5">
        <v>44743</v>
      </c>
      <c r="J299" s="6">
        <v>0</v>
      </c>
      <c r="K299" s="6">
        <v>0</v>
      </c>
      <c r="L299" s="6">
        <v>46.963999999999999</v>
      </c>
      <c r="M299" s="6">
        <v>46.963999999999999</v>
      </c>
      <c r="N299" s="6">
        <v>46.963999999999999</v>
      </c>
      <c r="O299" s="6">
        <v>46.963999999999999</v>
      </c>
      <c r="P299" s="6">
        <v>3</v>
      </c>
      <c r="Q299" s="4" t="s">
        <v>26</v>
      </c>
      <c r="R299" s="4">
        <v>0</v>
      </c>
      <c r="S299" s="4" t="s">
        <v>243</v>
      </c>
      <c r="T299" s="4" t="s">
        <v>392</v>
      </c>
      <c r="U299" s="4">
        <v>0</v>
      </c>
      <c r="V299" s="4">
        <v>67</v>
      </c>
      <c r="W299" s="4">
        <v>7</v>
      </c>
    </row>
    <row r="300" spans="1:23" ht="11.25" customHeight="1" x14ac:dyDescent="0.3">
      <c r="A300" s="4" t="s">
        <v>21</v>
      </c>
      <c r="B300" s="4" t="s">
        <v>44</v>
      </c>
      <c r="C300" s="4" t="s">
        <v>23</v>
      </c>
      <c r="D300" s="4" t="s">
        <v>45</v>
      </c>
      <c r="E300" s="4" t="s">
        <v>46</v>
      </c>
      <c r="F300" s="4" t="s">
        <v>25</v>
      </c>
      <c r="G300" s="4" t="s">
        <v>25</v>
      </c>
      <c r="H300" s="4" t="s">
        <v>25</v>
      </c>
      <c r="I300" s="5">
        <v>44774</v>
      </c>
      <c r="J300" s="6">
        <v>0</v>
      </c>
      <c r="K300" s="6">
        <v>0</v>
      </c>
      <c r="L300" s="6">
        <v>46.963999999999999</v>
      </c>
      <c r="M300" s="6">
        <v>46.963999999999999</v>
      </c>
      <c r="N300" s="6">
        <v>46.963999999999999</v>
      </c>
      <c r="O300" s="6">
        <v>46.963999999999999</v>
      </c>
      <c r="P300" s="6">
        <v>3</v>
      </c>
      <c r="Q300" s="4" t="s">
        <v>26</v>
      </c>
      <c r="R300" s="4">
        <v>0</v>
      </c>
      <c r="S300" s="4" t="s">
        <v>244</v>
      </c>
      <c r="T300" s="4" t="s">
        <v>393</v>
      </c>
      <c r="U300" s="4">
        <v>0</v>
      </c>
      <c r="V300" s="4">
        <v>67</v>
      </c>
      <c r="W300" s="4">
        <v>7</v>
      </c>
    </row>
  </sheetData>
  <sortState xmlns:xlrd2="http://schemas.microsoft.com/office/spreadsheetml/2017/richdata2" ref="A2:W300">
    <sortCondition ref="B2:B300"/>
    <sortCondition ref="C2:C300"/>
    <sortCondition ref="D2:D300"/>
    <sortCondition ref="E2:E300"/>
    <sortCondition ref="F2:F300"/>
    <sortCondition ref="H2:H30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67EE-5331-4115-B8C3-FF2F41EF69A5}">
  <dimension ref="A1:H27"/>
  <sheetViews>
    <sheetView showGridLines="0" workbookViewId="0">
      <selection activeCell="H1" sqref="H1"/>
    </sheetView>
  </sheetViews>
  <sheetFormatPr defaultRowHeight="11.25" customHeight="1" x14ac:dyDescent="0.3"/>
  <cols>
    <col min="1" max="1" width="11.77734375" style="8" bestFit="1" customWidth="1"/>
    <col min="2" max="2" width="15.44140625" style="8" bestFit="1" customWidth="1"/>
    <col min="3" max="3" width="4.5546875" style="8" bestFit="1" customWidth="1"/>
    <col min="4" max="4" width="6.21875" style="8" bestFit="1" customWidth="1"/>
    <col min="5" max="5" width="8.21875" style="8" bestFit="1" customWidth="1"/>
    <col min="6" max="6" width="8.88671875" style="8"/>
    <col min="7" max="7" width="18" style="8" bestFit="1" customWidth="1"/>
    <col min="8" max="8" width="2" style="8" bestFit="1" customWidth="1"/>
    <col min="9" max="16384" width="8.88671875" style="8"/>
  </cols>
  <sheetData>
    <row r="1" spans="1:8" s="7" customFormat="1" ht="11.25" customHeight="1" x14ac:dyDescent="0.3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27</v>
      </c>
    </row>
    <row r="2" spans="1:8" ht="11.25" customHeight="1" x14ac:dyDescent="0.3">
      <c r="A2" s="8" t="s">
        <v>258</v>
      </c>
      <c r="B2" s="8" t="s">
        <v>259</v>
      </c>
      <c r="C2" s="8" t="s">
        <v>260</v>
      </c>
      <c r="D2" s="8">
        <v>14</v>
      </c>
      <c r="E2" s="8" t="s">
        <v>261</v>
      </c>
    </row>
    <row r="3" spans="1:8" ht="11.25" customHeight="1" x14ac:dyDescent="0.3">
      <c r="A3" s="8" t="s">
        <v>258</v>
      </c>
      <c r="B3" s="8" t="s">
        <v>259</v>
      </c>
      <c r="C3" s="8" t="s">
        <v>260</v>
      </c>
      <c r="D3" s="8">
        <v>15</v>
      </c>
      <c r="E3" s="8" t="s">
        <v>261</v>
      </c>
    </row>
    <row r="4" spans="1:8" ht="11.25" customHeight="1" x14ac:dyDescent="0.3">
      <c r="A4" s="8" t="s">
        <v>258</v>
      </c>
      <c r="B4" s="8" t="s">
        <v>259</v>
      </c>
      <c r="C4" s="8" t="s">
        <v>260</v>
      </c>
      <c r="D4" s="8">
        <v>16</v>
      </c>
      <c r="E4" s="8" t="s">
        <v>261</v>
      </c>
    </row>
    <row r="5" spans="1:8" ht="11.25" customHeight="1" x14ac:dyDescent="0.3">
      <c r="A5" s="8" t="s">
        <v>258</v>
      </c>
      <c r="B5" s="8" t="s">
        <v>259</v>
      </c>
      <c r="C5" s="8" t="s">
        <v>260</v>
      </c>
      <c r="D5" s="8">
        <v>17</v>
      </c>
      <c r="E5" s="8" t="s">
        <v>261</v>
      </c>
    </row>
    <row r="6" spans="1:8" ht="11.25" customHeight="1" x14ac:dyDescent="0.3">
      <c r="A6" s="8" t="s">
        <v>258</v>
      </c>
      <c r="B6" s="8" t="s">
        <v>259</v>
      </c>
      <c r="C6" s="8" t="s">
        <v>260</v>
      </c>
      <c r="D6" s="8">
        <v>18</v>
      </c>
      <c r="E6" s="8" t="s">
        <v>261</v>
      </c>
    </row>
    <row r="7" spans="1:8" ht="11.25" customHeight="1" x14ac:dyDescent="0.3">
      <c r="A7" s="8" t="s">
        <v>258</v>
      </c>
      <c r="B7" s="8" t="s">
        <v>259</v>
      </c>
      <c r="C7" s="8" t="s">
        <v>260</v>
      </c>
      <c r="D7" s="8">
        <v>19</v>
      </c>
      <c r="E7" s="8" t="s">
        <v>261</v>
      </c>
    </row>
    <row r="8" spans="1:8" ht="11.25" customHeight="1" x14ac:dyDescent="0.3">
      <c r="A8" s="8" t="s">
        <v>258</v>
      </c>
      <c r="B8" s="8" t="s">
        <v>259</v>
      </c>
      <c r="C8" s="8" t="s">
        <v>260</v>
      </c>
      <c r="D8" s="8">
        <v>20</v>
      </c>
      <c r="E8" s="8" t="s">
        <v>261</v>
      </c>
    </row>
    <row r="9" spans="1:8" ht="11.25" customHeight="1" x14ac:dyDescent="0.3">
      <c r="A9" s="8" t="s">
        <v>258</v>
      </c>
      <c r="B9" s="8" t="s">
        <v>259</v>
      </c>
      <c r="C9" s="8" t="s">
        <v>260</v>
      </c>
      <c r="D9" s="8">
        <v>21</v>
      </c>
      <c r="E9" s="8" t="s">
        <v>261</v>
      </c>
    </row>
    <row r="10" spans="1:8" ht="11.25" customHeight="1" x14ac:dyDescent="0.3">
      <c r="A10" s="8" t="s">
        <v>258</v>
      </c>
      <c r="B10" s="8" t="s">
        <v>259</v>
      </c>
      <c r="C10" s="8" t="s">
        <v>260</v>
      </c>
      <c r="D10" s="8">
        <v>22</v>
      </c>
      <c r="E10" s="8" t="s">
        <v>261</v>
      </c>
    </row>
    <row r="11" spans="1:8" ht="11.25" customHeight="1" x14ac:dyDescent="0.3">
      <c r="A11" s="8" t="s">
        <v>258</v>
      </c>
      <c r="B11" s="8" t="s">
        <v>259</v>
      </c>
      <c r="C11" s="8" t="s">
        <v>260</v>
      </c>
      <c r="D11" s="8">
        <v>23</v>
      </c>
      <c r="E11" s="8" t="s">
        <v>261</v>
      </c>
    </row>
    <row r="12" spans="1:8" ht="11.25" customHeight="1" x14ac:dyDescent="0.3">
      <c r="A12" s="8" t="s">
        <v>258</v>
      </c>
      <c r="B12" s="8" t="s">
        <v>259</v>
      </c>
      <c r="C12" s="8" t="s">
        <v>260</v>
      </c>
      <c r="D12" s="8">
        <v>24</v>
      </c>
      <c r="E12" s="8" t="s">
        <v>261</v>
      </c>
    </row>
    <row r="13" spans="1:8" ht="11.25" customHeight="1" x14ac:dyDescent="0.3">
      <c r="A13" s="8" t="s">
        <v>258</v>
      </c>
      <c r="B13" s="8" t="s">
        <v>259</v>
      </c>
      <c r="C13" s="8" t="s">
        <v>260</v>
      </c>
      <c r="D13" s="8">
        <v>25</v>
      </c>
      <c r="E13" s="8" t="s">
        <v>261</v>
      </c>
    </row>
    <row r="14" spans="1:8" ht="11.25" customHeight="1" x14ac:dyDescent="0.3">
      <c r="A14" s="8" t="s">
        <v>258</v>
      </c>
      <c r="B14" s="8" t="s">
        <v>259</v>
      </c>
      <c r="C14" s="8" t="s">
        <v>260</v>
      </c>
      <c r="D14" s="8">
        <v>86</v>
      </c>
      <c r="E14" s="8" t="s">
        <v>261</v>
      </c>
    </row>
    <row r="15" spans="1:8" ht="11.25" customHeight="1" x14ac:dyDescent="0.3">
      <c r="A15" s="8" t="s">
        <v>258</v>
      </c>
      <c r="B15" s="8" t="s">
        <v>259</v>
      </c>
      <c r="C15" s="8" t="s">
        <v>260</v>
      </c>
      <c r="D15" s="8">
        <v>87</v>
      </c>
      <c r="E15" s="8" t="s">
        <v>261</v>
      </c>
    </row>
    <row r="16" spans="1:8" ht="11.25" customHeight="1" x14ac:dyDescent="0.3">
      <c r="A16" s="8" t="s">
        <v>258</v>
      </c>
      <c r="B16" s="8" t="s">
        <v>259</v>
      </c>
      <c r="C16" s="8" t="s">
        <v>260</v>
      </c>
      <c r="D16" s="8">
        <v>88</v>
      </c>
      <c r="E16" s="8" t="s">
        <v>261</v>
      </c>
    </row>
    <row r="17" spans="1:5" ht="11.25" customHeight="1" x14ac:dyDescent="0.3">
      <c r="A17" s="8" t="s">
        <v>258</v>
      </c>
      <c r="B17" s="8" t="s">
        <v>259</v>
      </c>
      <c r="C17" s="8" t="s">
        <v>260</v>
      </c>
      <c r="D17" s="8">
        <v>89</v>
      </c>
      <c r="E17" s="8" t="s">
        <v>261</v>
      </c>
    </row>
    <row r="18" spans="1:5" ht="11.25" customHeight="1" x14ac:dyDescent="0.3">
      <c r="A18" s="8" t="s">
        <v>258</v>
      </c>
      <c r="B18" s="8" t="s">
        <v>259</v>
      </c>
      <c r="C18" s="8" t="s">
        <v>260</v>
      </c>
      <c r="D18" s="8">
        <v>90</v>
      </c>
      <c r="E18" s="8" t="s">
        <v>261</v>
      </c>
    </row>
    <row r="19" spans="1:5" ht="11.25" customHeight="1" x14ac:dyDescent="0.3">
      <c r="A19" s="8" t="s">
        <v>258</v>
      </c>
      <c r="B19" s="8" t="s">
        <v>259</v>
      </c>
      <c r="C19" s="8" t="s">
        <v>260</v>
      </c>
      <c r="D19" s="8">
        <v>91</v>
      </c>
      <c r="E19" s="8" t="s">
        <v>261</v>
      </c>
    </row>
    <row r="20" spans="1:5" ht="11.25" customHeight="1" x14ac:dyDescent="0.3">
      <c r="A20" s="8" t="s">
        <v>258</v>
      </c>
      <c r="B20" s="8" t="s">
        <v>259</v>
      </c>
      <c r="C20" s="8" t="s">
        <v>260</v>
      </c>
      <c r="D20" s="8">
        <v>92</v>
      </c>
      <c r="E20" s="8" t="s">
        <v>261</v>
      </c>
    </row>
    <row r="21" spans="1:5" ht="11.25" customHeight="1" x14ac:dyDescent="0.3">
      <c r="A21" s="8" t="s">
        <v>258</v>
      </c>
      <c r="B21" s="8" t="s">
        <v>259</v>
      </c>
      <c r="C21" s="8" t="s">
        <v>260</v>
      </c>
      <c r="D21" s="8">
        <v>93</v>
      </c>
      <c r="E21" s="8" t="s">
        <v>261</v>
      </c>
    </row>
    <row r="22" spans="1:5" ht="11.25" customHeight="1" x14ac:dyDescent="0.3">
      <c r="A22" s="8" t="s">
        <v>258</v>
      </c>
      <c r="B22" s="8" t="s">
        <v>259</v>
      </c>
      <c r="C22" s="8" t="s">
        <v>260</v>
      </c>
      <c r="D22" s="8">
        <v>94</v>
      </c>
      <c r="E22" s="8" t="s">
        <v>261</v>
      </c>
    </row>
    <row r="23" spans="1:5" ht="11.25" customHeight="1" x14ac:dyDescent="0.3">
      <c r="A23" s="8" t="s">
        <v>258</v>
      </c>
      <c r="B23" s="8" t="s">
        <v>259</v>
      </c>
      <c r="C23" s="8" t="s">
        <v>260</v>
      </c>
      <c r="D23" s="8">
        <v>95</v>
      </c>
      <c r="E23" s="8" t="s">
        <v>261</v>
      </c>
    </row>
    <row r="24" spans="1:5" ht="11.25" customHeight="1" x14ac:dyDescent="0.3">
      <c r="A24" s="8" t="s">
        <v>258</v>
      </c>
      <c r="B24" s="8" t="s">
        <v>259</v>
      </c>
      <c r="C24" s="8" t="s">
        <v>260</v>
      </c>
      <c r="D24" s="8">
        <v>96</v>
      </c>
      <c r="E24" s="8" t="s">
        <v>261</v>
      </c>
    </row>
    <row r="25" spans="1:5" ht="11.25" customHeight="1" x14ac:dyDescent="0.3">
      <c r="A25" s="8" t="s">
        <v>258</v>
      </c>
      <c r="B25" s="8" t="s">
        <v>259</v>
      </c>
      <c r="C25" s="8" t="s">
        <v>260</v>
      </c>
      <c r="D25" s="8">
        <v>97</v>
      </c>
      <c r="E25" s="8" t="s">
        <v>261</v>
      </c>
    </row>
    <row r="26" spans="1:5" ht="11.25" customHeight="1" x14ac:dyDescent="0.3">
      <c r="A26" s="8" t="s">
        <v>258</v>
      </c>
      <c r="C26" s="8" t="s">
        <v>483</v>
      </c>
      <c r="D26" s="8">
        <v>40</v>
      </c>
      <c r="E26" s="8" t="s">
        <v>9</v>
      </c>
    </row>
    <row r="27" spans="1:5" ht="11.25" customHeight="1" x14ac:dyDescent="0.3">
      <c r="A27" s="8" t="s">
        <v>258</v>
      </c>
      <c r="C27" s="8" t="s">
        <v>483</v>
      </c>
      <c r="D27" s="8">
        <v>40</v>
      </c>
      <c r="E27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191-A951-45CA-A13B-802AD5CF10FE}">
  <dimension ref="A1:AX85"/>
  <sheetViews>
    <sheetView showGridLines="0" workbookViewId="0"/>
  </sheetViews>
  <sheetFormatPr defaultRowHeight="10.199999999999999" x14ac:dyDescent="0.3"/>
  <cols>
    <col min="1" max="1" width="4.5546875" style="8" bestFit="1" customWidth="1"/>
    <col min="2" max="2" width="8.5546875" style="8" bestFit="1" customWidth="1"/>
    <col min="3" max="3" width="8.44140625" style="8" bestFit="1" customWidth="1"/>
    <col min="4" max="4" width="26.33203125" style="8" bestFit="1" customWidth="1"/>
    <col min="5" max="5" width="13.21875" style="8" bestFit="1" customWidth="1"/>
    <col min="6" max="6" width="24.44140625" style="8" bestFit="1" customWidth="1"/>
    <col min="7" max="9" width="10" style="8" bestFit="1" customWidth="1"/>
    <col min="10" max="10" width="6.6640625" style="8" bestFit="1" customWidth="1"/>
    <col min="11" max="11" width="4.44140625" style="8" bestFit="1" customWidth="1"/>
    <col min="12" max="12" width="4.33203125" style="8" bestFit="1" customWidth="1"/>
    <col min="13" max="13" width="6.5546875" style="8" bestFit="1" customWidth="1"/>
    <col min="14" max="14" width="6.109375" style="8" bestFit="1" customWidth="1"/>
    <col min="15" max="15" width="10.77734375" style="8" bestFit="1" customWidth="1"/>
    <col min="16" max="16" width="10.109375" style="8" bestFit="1" customWidth="1"/>
    <col min="17" max="16384" width="8.88671875" style="8"/>
  </cols>
  <sheetData>
    <row r="1" spans="1:50" ht="11.25" customHeight="1" x14ac:dyDescent="0.3">
      <c r="A1" s="30" t="s">
        <v>543</v>
      </c>
      <c r="B1" s="30" t="s">
        <v>534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535</v>
      </c>
      <c r="K1" s="30" t="s">
        <v>536</v>
      </c>
      <c r="L1" s="30" t="s">
        <v>537</v>
      </c>
      <c r="M1" s="30" t="s">
        <v>538</v>
      </c>
      <c r="N1" s="30" t="s">
        <v>539</v>
      </c>
      <c r="O1" s="30" t="s">
        <v>415</v>
      </c>
      <c r="P1" s="30" t="s">
        <v>401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1">
        <v>1</v>
      </c>
      <c r="B2" s="31" t="s">
        <v>423</v>
      </c>
      <c r="C2" s="31" t="s">
        <v>41</v>
      </c>
      <c r="D2" s="31" t="s">
        <v>67</v>
      </c>
      <c r="E2" s="31" t="s">
        <v>42</v>
      </c>
      <c r="F2" s="31" t="s">
        <v>85</v>
      </c>
      <c r="G2" s="31" t="s">
        <v>25</v>
      </c>
      <c r="H2" s="31" t="s">
        <v>25</v>
      </c>
      <c r="I2" s="31" t="s">
        <v>35</v>
      </c>
      <c r="J2" s="31" t="s">
        <v>540</v>
      </c>
      <c r="K2" s="31" t="s">
        <v>541</v>
      </c>
      <c r="L2" s="31" t="s">
        <v>68</v>
      </c>
      <c r="M2" s="31">
        <v>2021</v>
      </c>
      <c r="N2" s="31">
        <v>0</v>
      </c>
      <c r="O2" s="31">
        <v>195</v>
      </c>
      <c r="P2" s="31"/>
    </row>
    <row r="3" spans="1:50" ht="11.25" customHeight="1" x14ac:dyDescent="0.3">
      <c r="A3" s="31">
        <v>2</v>
      </c>
      <c r="B3" s="31" t="s">
        <v>423</v>
      </c>
      <c r="C3" s="31" t="s">
        <v>36</v>
      </c>
      <c r="D3" s="31" t="s">
        <v>71</v>
      </c>
      <c r="E3" s="31" t="s">
        <v>25</v>
      </c>
      <c r="F3" s="31" t="s">
        <v>25</v>
      </c>
      <c r="G3" s="31" t="s">
        <v>25</v>
      </c>
      <c r="H3" s="31" t="s">
        <v>25</v>
      </c>
      <c r="I3" s="31" t="s">
        <v>25</v>
      </c>
      <c r="J3" s="31" t="s">
        <v>540</v>
      </c>
      <c r="K3" s="31" t="s">
        <v>541</v>
      </c>
      <c r="L3" s="31" t="s">
        <v>68</v>
      </c>
      <c r="M3" s="31">
        <v>2021</v>
      </c>
      <c r="N3" s="31">
        <v>0</v>
      </c>
      <c r="O3" s="31">
        <v>221.6</v>
      </c>
      <c r="P3" s="31"/>
    </row>
    <row r="4" spans="1:50" ht="11.25" customHeight="1" x14ac:dyDescent="0.3">
      <c r="A4" s="31">
        <v>3</v>
      </c>
      <c r="B4" s="31" t="s">
        <v>423</v>
      </c>
      <c r="C4" s="31" t="s">
        <v>41</v>
      </c>
      <c r="D4" s="31" t="s">
        <v>67</v>
      </c>
      <c r="E4" s="31" t="s">
        <v>42</v>
      </c>
      <c r="F4" s="31" t="s">
        <v>85</v>
      </c>
      <c r="G4" s="31" t="s">
        <v>25</v>
      </c>
      <c r="H4" s="31" t="s">
        <v>25</v>
      </c>
      <c r="I4" s="31" t="s">
        <v>34</v>
      </c>
      <c r="J4" s="31" t="s">
        <v>540</v>
      </c>
      <c r="K4" s="31" t="s">
        <v>541</v>
      </c>
      <c r="L4" s="31" t="s">
        <v>68</v>
      </c>
      <c r="M4" s="31">
        <v>2021</v>
      </c>
      <c r="N4" s="31">
        <v>0</v>
      </c>
      <c r="O4" s="31">
        <v>195</v>
      </c>
      <c r="P4" s="31"/>
    </row>
    <row r="5" spans="1:50" ht="11.25" customHeight="1" x14ac:dyDescent="0.3">
      <c r="A5" s="31">
        <v>4</v>
      </c>
      <c r="B5" s="31" t="s">
        <v>423</v>
      </c>
      <c r="C5" s="31" t="s">
        <v>36</v>
      </c>
      <c r="D5" s="31" t="s">
        <v>83</v>
      </c>
      <c r="E5" s="31" t="s">
        <v>25</v>
      </c>
      <c r="F5" s="31" t="s">
        <v>25</v>
      </c>
      <c r="G5" s="31" t="s">
        <v>25</v>
      </c>
      <c r="H5" s="31" t="s">
        <v>25</v>
      </c>
      <c r="I5" s="31" t="s">
        <v>25</v>
      </c>
      <c r="J5" s="31" t="s">
        <v>540</v>
      </c>
      <c r="K5" s="31" t="s">
        <v>541</v>
      </c>
      <c r="L5" s="31" t="s">
        <v>68</v>
      </c>
      <c r="M5" s="31">
        <v>2021</v>
      </c>
      <c r="N5" s="31">
        <v>0</v>
      </c>
      <c r="O5" s="31">
        <v>221.6</v>
      </c>
      <c r="P5" s="31"/>
    </row>
    <row r="6" spans="1:50" ht="11.25" customHeight="1" x14ac:dyDescent="0.3">
      <c r="A6" s="31">
        <v>5</v>
      </c>
      <c r="B6" s="31" t="s">
        <v>423</v>
      </c>
      <c r="C6" s="31" t="s">
        <v>41</v>
      </c>
      <c r="D6" s="31" t="s">
        <v>67</v>
      </c>
      <c r="E6" s="31" t="s">
        <v>42</v>
      </c>
      <c r="F6" s="31" t="s">
        <v>86</v>
      </c>
      <c r="G6" s="31" t="s">
        <v>25</v>
      </c>
      <c r="H6" s="31" t="s">
        <v>25</v>
      </c>
      <c r="I6" s="31" t="s">
        <v>40</v>
      </c>
      <c r="J6" s="31" t="s">
        <v>540</v>
      </c>
      <c r="K6" s="31" t="s">
        <v>541</v>
      </c>
      <c r="L6" s="31" t="s">
        <v>68</v>
      </c>
      <c r="M6" s="31">
        <v>2021</v>
      </c>
      <c r="N6" s="31">
        <v>0</v>
      </c>
      <c r="O6" s="31">
        <v>186.14</v>
      </c>
      <c r="P6" s="31"/>
    </row>
    <row r="7" spans="1:50" ht="11.25" customHeight="1" x14ac:dyDescent="0.3">
      <c r="A7" s="31">
        <v>6</v>
      </c>
      <c r="B7" s="31" t="s">
        <v>423</v>
      </c>
      <c r="C7" s="31" t="s">
        <v>44</v>
      </c>
      <c r="D7" s="31" t="s">
        <v>71</v>
      </c>
      <c r="E7" s="31" t="s">
        <v>45</v>
      </c>
      <c r="F7" s="31" t="s">
        <v>87</v>
      </c>
      <c r="G7" s="31" t="s">
        <v>25</v>
      </c>
      <c r="H7" s="31" t="s">
        <v>25</v>
      </c>
      <c r="I7" s="31" t="s">
        <v>25</v>
      </c>
      <c r="J7" s="31" t="s">
        <v>540</v>
      </c>
      <c r="K7" s="31" t="s">
        <v>541</v>
      </c>
      <c r="L7" s="31" t="s">
        <v>68</v>
      </c>
      <c r="M7" s="31">
        <v>2021</v>
      </c>
      <c r="N7" s="31">
        <v>0</v>
      </c>
      <c r="O7" s="31">
        <v>132.96</v>
      </c>
      <c r="P7" s="31"/>
    </row>
    <row r="8" spans="1:50" ht="11.25" customHeight="1" x14ac:dyDescent="0.3">
      <c r="A8" s="31">
        <v>7</v>
      </c>
      <c r="B8" s="31" t="s">
        <v>423</v>
      </c>
      <c r="C8" s="31" t="s">
        <v>44</v>
      </c>
      <c r="D8" s="31" t="s">
        <v>71</v>
      </c>
      <c r="E8" s="31" t="s">
        <v>45</v>
      </c>
      <c r="F8" s="31" t="s">
        <v>46</v>
      </c>
      <c r="G8" s="31" t="s">
        <v>25</v>
      </c>
      <c r="H8" s="31" t="s">
        <v>25</v>
      </c>
      <c r="I8" s="31" t="s">
        <v>25</v>
      </c>
      <c r="J8" s="31" t="s">
        <v>540</v>
      </c>
      <c r="K8" s="31" t="s">
        <v>541</v>
      </c>
      <c r="L8" s="31" t="s">
        <v>68</v>
      </c>
      <c r="M8" s="31">
        <v>2021</v>
      </c>
      <c r="N8" s="31">
        <v>0</v>
      </c>
      <c r="O8" s="31">
        <v>121.88</v>
      </c>
      <c r="P8" s="31"/>
    </row>
    <row r="9" spans="1:50" ht="11.25" customHeight="1" x14ac:dyDescent="0.3">
      <c r="A9" s="31">
        <v>8</v>
      </c>
      <c r="B9" s="31" t="s">
        <v>423</v>
      </c>
      <c r="C9" s="31" t="s">
        <v>41</v>
      </c>
      <c r="D9" s="31" t="s">
        <v>67</v>
      </c>
      <c r="E9" s="31" t="s">
        <v>42</v>
      </c>
      <c r="F9" s="31" t="s">
        <v>25</v>
      </c>
      <c r="G9" s="31" t="s">
        <v>25</v>
      </c>
      <c r="H9" s="31" t="s">
        <v>25</v>
      </c>
      <c r="I9" s="31" t="s">
        <v>34</v>
      </c>
      <c r="J9" s="31" t="s">
        <v>540</v>
      </c>
      <c r="K9" s="31" t="s">
        <v>541</v>
      </c>
      <c r="L9" s="31" t="s">
        <v>68</v>
      </c>
      <c r="M9" s="31">
        <v>2021</v>
      </c>
      <c r="N9" s="31">
        <v>0</v>
      </c>
      <c r="O9" s="31">
        <v>195</v>
      </c>
      <c r="P9" s="31"/>
    </row>
    <row r="10" spans="1:50" ht="11.25" customHeight="1" x14ac:dyDescent="0.3">
      <c r="A10" s="31">
        <v>9</v>
      </c>
      <c r="B10" s="31" t="s">
        <v>423</v>
      </c>
      <c r="C10" s="31" t="s">
        <v>36</v>
      </c>
      <c r="D10" s="31" t="s">
        <v>67</v>
      </c>
      <c r="E10" s="31" t="s">
        <v>25</v>
      </c>
      <c r="F10" s="31" t="s">
        <v>25</v>
      </c>
      <c r="G10" s="31" t="s">
        <v>25</v>
      </c>
      <c r="H10" s="31" t="s">
        <v>25</v>
      </c>
      <c r="I10" s="31" t="s">
        <v>40</v>
      </c>
      <c r="J10" s="31" t="s">
        <v>540</v>
      </c>
      <c r="K10" s="31" t="s">
        <v>541</v>
      </c>
      <c r="L10" s="31" t="s">
        <v>68</v>
      </c>
      <c r="M10" s="31">
        <v>2021</v>
      </c>
      <c r="N10" s="31">
        <v>0</v>
      </c>
      <c r="O10" s="31">
        <v>221.6</v>
      </c>
      <c r="P10" s="31"/>
    </row>
    <row r="11" spans="1:50" ht="11.25" customHeight="1" x14ac:dyDescent="0.3">
      <c r="A11" s="31">
        <v>10</v>
      </c>
      <c r="B11" s="31" t="s">
        <v>423</v>
      </c>
      <c r="C11" s="31" t="s">
        <v>41</v>
      </c>
      <c r="D11" s="31" t="s">
        <v>71</v>
      </c>
      <c r="E11" s="31" t="s">
        <v>42</v>
      </c>
      <c r="F11" s="31" t="s">
        <v>25</v>
      </c>
      <c r="G11" s="31" t="s">
        <v>25</v>
      </c>
      <c r="H11" s="31" t="s">
        <v>25</v>
      </c>
      <c r="I11" s="31" t="s">
        <v>25</v>
      </c>
      <c r="J11" s="31" t="s">
        <v>540</v>
      </c>
      <c r="K11" s="31" t="s">
        <v>541</v>
      </c>
      <c r="L11" s="31" t="s">
        <v>68</v>
      </c>
      <c r="M11" s="31">
        <v>2021</v>
      </c>
      <c r="N11" s="31">
        <v>0</v>
      </c>
      <c r="O11" s="31">
        <v>195</v>
      </c>
      <c r="P11" s="31"/>
    </row>
    <row r="12" spans="1:50" ht="11.25" customHeight="1" x14ac:dyDescent="0.3">
      <c r="A12" s="31">
        <v>11</v>
      </c>
      <c r="B12" s="31" t="s">
        <v>423</v>
      </c>
      <c r="C12" s="31" t="s">
        <v>36</v>
      </c>
      <c r="D12" s="31" t="s">
        <v>67</v>
      </c>
      <c r="E12" s="31" t="s">
        <v>25</v>
      </c>
      <c r="F12" s="31" t="s">
        <v>25</v>
      </c>
      <c r="G12" s="31" t="s">
        <v>25</v>
      </c>
      <c r="H12" s="31" t="s">
        <v>25</v>
      </c>
      <c r="I12" s="31" t="s">
        <v>34</v>
      </c>
      <c r="J12" s="31" t="s">
        <v>540</v>
      </c>
      <c r="K12" s="31" t="s">
        <v>541</v>
      </c>
      <c r="L12" s="31" t="s">
        <v>68</v>
      </c>
      <c r="M12" s="31">
        <v>2021</v>
      </c>
      <c r="N12" s="31">
        <v>0</v>
      </c>
      <c r="O12" s="31">
        <v>221.6</v>
      </c>
      <c r="P12" s="31"/>
    </row>
    <row r="13" spans="1:50" ht="11.25" customHeight="1" x14ac:dyDescent="0.3">
      <c r="A13" s="31">
        <v>12</v>
      </c>
      <c r="B13" s="31" t="s">
        <v>423</v>
      </c>
      <c r="C13" s="31" t="s">
        <v>36</v>
      </c>
      <c r="D13" s="31" t="s">
        <v>67</v>
      </c>
      <c r="E13" s="31" t="s">
        <v>25</v>
      </c>
      <c r="F13" s="31" t="s">
        <v>25</v>
      </c>
      <c r="G13" s="31" t="s">
        <v>25</v>
      </c>
      <c r="H13" s="31" t="s">
        <v>25</v>
      </c>
      <c r="I13" s="31" t="s">
        <v>35</v>
      </c>
      <c r="J13" s="31" t="s">
        <v>540</v>
      </c>
      <c r="K13" s="31" t="s">
        <v>541</v>
      </c>
      <c r="L13" s="31" t="s">
        <v>68</v>
      </c>
      <c r="M13" s="31">
        <v>2021</v>
      </c>
      <c r="N13" s="31">
        <v>0</v>
      </c>
      <c r="O13" s="31">
        <v>221.6</v>
      </c>
      <c r="P13" s="31"/>
    </row>
    <row r="14" spans="1:50" ht="11.25" customHeight="1" x14ac:dyDescent="0.3">
      <c r="A14" s="31">
        <v>13</v>
      </c>
      <c r="B14" s="31" t="s">
        <v>423</v>
      </c>
      <c r="C14" s="31" t="s">
        <v>41</v>
      </c>
      <c r="D14" s="31" t="s">
        <v>67</v>
      </c>
      <c r="E14" s="31" t="s">
        <v>42</v>
      </c>
      <c r="F14" s="31" t="s">
        <v>85</v>
      </c>
      <c r="G14" s="31" t="s">
        <v>25</v>
      </c>
      <c r="H14" s="31" t="s">
        <v>25</v>
      </c>
      <c r="I14" s="31" t="s">
        <v>40</v>
      </c>
      <c r="J14" s="31" t="s">
        <v>540</v>
      </c>
      <c r="K14" s="31" t="s">
        <v>541</v>
      </c>
      <c r="L14" s="31" t="s">
        <v>68</v>
      </c>
      <c r="M14" s="31">
        <v>2021</v>
      </c>
      <c r="N14" s="31">
        <v>0</v>
      </c>
      <c r="O14" s="31">
        <v>195</v>
      </c>
      <c r="P14" s="31"/>
    </row>
    <row r="15" spans="1:50" ht="11.25" customHeight="1" x14ac:dyDescent="0.3">
      <c r="A15" s="31">
        <v>14</v>
      </c>
      <c r="B15" s="31" t="s">
        <v>423</v>
      </c>
      <c r="C15" s="31" t="s">
        <v>41</v>
      </c>
      <c r="D15" s="31" t="s">
        <v>71</v>
      </c>
      <c r="E15" s="31" t="s">
        <v>42</v>
      </c>
      <c r="F15" s="31" t="s">
        <v>85</v>
      </c>
      <c r="G15" s="31" t="s">
        <v>25</v>
      </c>
      <c r="H15" s="31" t="s">
        <v>25</v>
      </c>
      <c r="I15" s="31" t="s">
        <v>25</v>
      </c>
      <c r="J15" s="31" t="s">
        <v>540</v>
      </c>
      <c r="K15" s="31" t="s">
        <v>541</v>
      </c>
      <c r="L15" s="31" t="s">
        <v>68</v>
      </c>
      <c r="M15" s="31">
        <v>2021</v>
      </c>
      <c r="N15" s="31">
        <v>0</v>
      </c>
      <c r="O15" s="31">
        <v>195</v>
      </c>
      <c r="P15" s="31"/>
    </row>
    <row r="16" spans="1:50" ht="11.25" customHeight="1" x14ac:dyDescent="0.3">
      <c r="A16" s="31">
        <v>15</v>
      </c>
      <c r="B16" s="31" t="s">
        <v>395</v>
      </c>
      <c r="C16" s="31" t="s">
        <v>22</v>
      </c>
      <c r="D16" s="31" t="s">
        <v>33</v>
      </c>
      <c r="E16" s="31" t="s">
        <v>24</v>
      </c>
      <c r="F16" s="31" t="s">
        <v>24</v>
      </c>
      <c r="G16" s="31" t="s">
        <v>25</v>
      </c>
      <c r="H16" s="31" t="s">
        <v>25</v>
      </c>
      <c r="I16" s="31" t="s">
        <v>34</v>
      </c>
      <c r="J16" s="31" t="s">
        <v>540</v>
      </c>
      <c r="K16" s="31" t="s">
        <v>541</v>
      </c>
      <c r="L16" s="31" t="s">
        <v>68</v>
      </c>
      <c r="M16" s="31">
        <v>2021</v>
      </c>
      <c r="N16" s="31">
        <v>0</v>
      </c>
      <c r="O16" s="31">
        <v>319.24</v>
      </c>
      <c r="P16" s="31">
        <v>56.639069329199003</v>
      </c>
    </row>
    <row r="17" spans="1:16" ht="11.25" customHeight="1" x14ac:dyDescent="0.3">
      <c r="A17" s="31">
        <v>16</v>
      </c>
      <c r="B17" s="31" t="s">
        <v>423</v>
      </c>
      <c r="C17" s="31" t="s">
        <v>41</v>
      </c>
      <c r="D17" s="31" t="s">
        <v>83</v>
      </c>
      <c r="E17" s="31" t="s">
        <v>42</v>
      </c>
      <c r="F17" s="31" t="s">
        <v>25</v>
      </c>
      <c r="G17" s="31" t="s">
        <v>25</v>
      </c>
      <c r="H17" s="31" t="s">
        <v>25</v>
      </c>
      <c r="I17" s="31" t="s">
        <v>25</v>
      </c>
      <c r="J17" s="31" t="s">
        <v>540</v>
      </c>
      <c r="K17" s="31" t="s">
        <v>541</v>
      </c>
      <c r="L17" s="31" t="s">
        <v>68</v>
      </c>
      <c r="M17" s="31">
        <v>2021</v>
      </c>
      <c r="N17" s="31">
        <v>0</v>
      </c>
      <c r="O17" s="31">
        <v>195</v>
      </c>
      <c r="P17" s="31"/>
    </row>
    <row r="18" spans="1:16" ht="11.25" customHeight="1" x14ac:dyDescent="0.3">
      <c r="A18" s="31">
        <v>17</v>
      </c>
      <c r="B18" s="31" t="s">
        <v>395</v>
      </c>
      <c r="C18" s="31" t="s">
        <v>79</v>
      </c>
      <c r="D18" s="31" t="s">
        <v>78</v>
      </c>
      <c r="E18" s="31" t="s">
        <v>25</v>
      </c>
      <c r="F18" s="31" t="s">
        <v>25</v>
      </c>
      <c r="G18" s="31" t="s">
        <v>81</v>
      </c>
      <c r="H18" s="31" t="s">
        <v>25</v>
      </c>
      <c r="I18" s="31" t="s">
        <v>25</v>
      </c>
      <c r="J18" s="31" t="s">
        <v>542</v>
      </c>
      <c r="K18" s="31" t="s">
        <v>541</v>
      </c>
      <c r="L18" s="31" t="s">
        <v>74</v>
      </c>
      <c r="M18" s="31">
        <v>2021</v>
      </c>
      <c r="N18" s="31">
        <v>0</v>
      </c>
      <c r="O18" s="31">
        <v>16.79</v>
      </c>
      <c r="P18" s="31">
        <v>0</v>
      </c>
    </row>
    <row r="19" spans="1:16" ht="11.25" customHeight="1" x14ac:dyDescent="0.3">
      <c r="A19" s="31">
        <v>18</v>
      </c>
      <c r="B19" s="31" t="s">
        <v>423</v>
      </c>
      <c r="C19" s="31" t="s">
        <v>41</v>
      </c>
      <c r="D19" s="31" t="s">
        <v>67</v>
      </c>
      <c r="E19" s="31" t="s">
        <v>42</v>
      </c>
      <c r="F19" s="31" t="s">
        <v>86</v>
      </c>
      <c r="G19" s="31" t="s">
        <v>25</v>
      </c>
      <c r="H19" s="31" t="s">
        <v>25</v>
      </c>
      <c r="I19" s="31" t="s">
        <v>34</v>
      </c>
      <c r="J19" s="31" t="s">
        <v>540</v>
      </c>
      <c r="K19" s="31" t="s">
        <v>541</v>
      </c>
      <c r="L19" s="31" t="s">
        <v>68</v>
      </c>
      <c r="M19" s="31">
        <v>2021</v>
      </c>
      <c r="N19" s="31">
        <v>0</v>
      </c>
      <c r="O19" s="31">
        <v>186.14</v>
      </c>
      <c r="P19" s="31"/>
    </row>
    <row r="20" spans="1:16" ht="11.25" customHeight="1" x14ac:dyDescent="0.3">
      <c r="A20" s="31">
        <v>19</v>
      </c>
      <c r="B20" s="31" t="s">
        <v>395</v>
      </c>
      <c r="C20" s="31" t="s">
        <v>79</v>
      </c>
      <c r="D20" s="31" t="s">
        <v>78</v>
      </c>
      <c r="E20" s="31" t="s">
        <v>25</v>
      </c>
      <c r="F20" s="31" t="s">
        <v>25</v>
      </c>
      <c r="G20" s="31" t="s">
        <v>80</v>
      </c>
      <c r="H20" s="31" t="s">
        <v>25</v>
      </c>
      <c r="I20" s="31" t="s">
        <v>25</v>
      </c>
      <c r="J20" s="31" t="s">
        <v>542</v>
      </c>
      <c r="K20" s="31" t="s">
        <v>541</v>
      </c>
      <c r="L20" s="31" t="s">
        <v>74</v>
      </c>
      <c r="M20" s="31">
        <v>2021</v>
      </c>
      <c r="N20" s="31">
        <v>0</v>
      </c>
      <c r="O20" s="31">
        <v>3.05</v>
      </c>
      <c r="P20" s="31">
        <v>0</v>
      </c>
    </row>
    <row r="21" spans="1:16" ht="11.25" customHeight="1" x14ac:dyDescent="0.3">
      <c r="A21" s="31">
        <v>20</v>
      </c>
      <c r="B21" s="31" t="s">
        <v>423</v>
      </c>
      <c r="C21" s="31" t="s">
        <v>41</v>
      </c>
      <c r="D21" s="31" t="s">
        <v>83</v>
      </c>
      <c r="E21" s="31" t="s">
        <v>42</v>
      </c>
      <c r="F21" s="31" t="s">
        <v>85</v>
      </c>
      <c r="G21" s="31" t="s">
        <v>25</v>
      </c>
      <c r="H21" s="31" t="s">
        <v>25</v>
      </c>
      <c r="I21" s="31" t="s">
        <v>25</v>
      </c>
      <c r="J21" s="31" t="s">
        <v>540</v>
      </c>
      <c r="K21" s="31" t="s">
        <v>541</v>
      </c>
      <c r="L21" s="31" t="s">
        <v>68</v>
      </c>
      <c r="M21" s="31">
        <v>2021</v>
      </c>
      <c r="N21" s="31">
        <v>0</v>
      </c>
      <c r="O21" s="31">
        <v>195</v>
      </c>
      <c r="P21" s="31"/>
    </row>
    <row r="22" spans="1:16" ht="11.25" customHeight="1" x14ac:dyDescent="0.3">
      <c r="A22" s="31">
        <v>21</v>
      </c>
      <c r="B22" s="31" t="s">
        <v>395</v>
      </c>
      <c r="C22" s="31" t="s">
        <v>22</v>
      </c>
      <c r="D22" s="31" t="s">
        <v>33</v>
      </c>
      <c r="E22" s="31" t="s">
        <v>24</v>
      </c>
      <c r="F22" s="31" t="s">
        <v>24</v>
      </c>
      <c r="G22" s="31" t="s">
        <v>25</v>
      </c>
      <c r="H22" s="31" t="s">
        <v>25</v>
      </c>
      <c r="I22" s="31" t="s">
        <v>40</v>
      </c>
      <c r="J22" s="31" t="s">
        <v>540</v>
      </c>
      <c r="K22" s="31" t="s">
        <v>541</v>
      </c>
      <c r="L22" s="31" t="s">
        <v>68</v>
      </c>
      <c r="M22" s="31">
        <v>2021</v>
      </c>
      <c r="N22" s="31">
        <v>0</v>
      </c>
      <c r="O22" s="31">
        <v>1109.3699999999999</v>
      </c>
      <c r="P22" s="31">
        <v>56.639069329199003</v>
      </c>
    </row>
    <row r="23" spans="1:16" ht="11.25" customHeight="1" x14ac:dyDescent="0.3">
      <c r="A23" s="31">
        <v>22</v>
      </c>
      <c r="B23" s="31" t="s">
        <v>423</v>
      </c>
      <c r="C23" s="31" t="s">
        <v>41</v>
      </c>
      <c r="D23" s="31" t="s">
        <v>71</v>
      </c>
      <c r="E23" s="31" t="s">
        <v>42</v>
      </c>
      <c r="F23" s="31" t="s">
        <v>86</v>
      </c>
      <c r="G23" s="31" t="s">
        <v>25</v>
      </c>
      <c r="H23" s="31" t="s">
        <v>25</v>
      </c>
      <c r="I23" s="31" t="s">
        <v>25</v>
      </c>
      <c r="J23" s="31" t="s">
        <v>540</v>
      </c>
      <c r="K23" s="31" t="s">
        <v>541</v>
      </c>
      <c r="L23" s="31" t="s">
        <v>68</v>
      </c>
      <c r="M23" s="31">
        <v>2021</v>
      </c>
      <c r="N23" s="31">
        <v>0</v>
      </c>
      <c r="O23" s="31">
        <v>186.14</v>
      </c>
      <c r="P23" s="31"/>
    </row>
    <row r="24" spans="1:16" ht="11.25" customHeight="1" x14ac:dyDescent="0.3">
      <c r="A24" s="31">
        <v>23</v>
      </c>
      <c r="B24" s="31" t="s">
        <v>395</v>
      </c>
      <c r="C24" s="31" t="s">
        <v>22</v>
      </c>
      <c r="D24" s="31" t="s">
        <v>33</v>
      </c>
      <c r="E24" s="31" t="s">
        <v>24</v>
      </c>
      <c r="F24" s="31" t="s">
        <v>24</v>
      </c>
      <c r="G24" s="31" t="s">
        <v>25</v>
      </c>
      <c r="H24" s="31" t="s">
        <v>25</v>
      </c>
      <c r="I24" s="31" t="s">
        <v>35</v>
      </c>
      <c r="J24" s="31" t="s">
        <v>540</v>
      </c>
      <c r="K24" s="31" t="s">
        <v>541</v>
      </c>
      <c r="L24" s="31" t="s">
        <v>68</v>
      </c>
      <c r="M24" s="31">
        <v>2021</v>
      </c>
      <c r="N24" s="31">
        <v>0</v>
      </c>
      <c r="O24" s="31">
        <v>714.31</v>
      </c>
      <c r="P24" s="31">
        <v>56.639069329199003</v>
      </c>
    </row>
    <row r="25" spans="1:16" ht="11.25" customHeight="1" x14ac:dyDescent="0.3">
      <c r="A25" s="31">
        <v>24</v>
      </c>
      <c r="B25" s="31" t="s">
        <v>423</v>
      </c>
      <c r="C25" s="31" t="s">
        <v>41</v>
      </c>
      <c r="D25" s="31" t="s">
        <v>83</v>
      </c>
      <c r="E25" s="31" t="s">
        <v>42</v>
      </c>
      <c r="F25" s="31" t="s">
        <v>86</v>
      </c>
      <c r="G25" s="31" t="s">
        <v>25</v>
      </c>
      <c r="H25" s="31" t="s">
        <v>25</v>
      </c>
      <c r="I25" s="31" t="s">
        <v>25</v>
      </c>
      <c r="J25" s="31" t="s">
        <v>540</v>
      </c>
      <c r="K25" s="31" t="s">
        <v>541</v>
      </c>
      <c r="L25" s="31" t="s">
        <v>68</v>
      </c>
      <c r="M25" s="31">
        <v>2021</v>
      </c>
      <c r="N25" s="31">
        <v>0</v>
      </c>
      <c r="O25" s="31">
        <v>186.14</v>
      </c>
      <c r="P25" s="31"/>
    </row>
    <row r="26" spans="1:16" ht="11.25" customHeight="1" x14ac:dyDescent="0.3">
      <c r="A26" s="31">
        <v>25</v>
      </c>
      <c r="B26" s="31" t="s">
        <v>395</v>
      </c>
      <c r="C26" s="31" t="s">
        <v>38</v>
      </c>
      <c r="D26" s="31" t="s">
        <v>73</v>
      </c>
      <c r="E26" s="31" t="s">
        <v>25</v>
      </c>
      <c r="F26" s="31" t="s">
        <v>25</v>
      </c>
      <c r="G26" s="31" t="s">
        <v>77</v>
      </c>
      <c r="H26" s="31" t="s">
        <v>25</v>
      </c>
      <c r="I26" s="31" t="s">
        <v>25</v>
      </c>
      <c r="J26" s="31" t="s">
        <v>540</v>
      </c>
      <c r="K26" s="31" t="s">
        <v>541</v>
      </c>
      <c r="L26" s="31" t="s">
        <v>68</v>
      </c>
      <c r="M26" s="31">
        <v>2021</v>
      </c>
      <c r="N26" s="31">
        <v>0</v>
      </c>
      <c r="O26" s="31">
        <v>10.37</v>
      </c>
      <c r="P26" s="31">
        <v>0</v>
      </c>
    </row>
    <row r="27" spans="1:16" ht="11.25" customHeight="1" x14ac:dyDescent="0.3">
      <c r="A27" s="31">
        <v>26</v>
      </c>
      <c r="B27" s="31" t="s">
        <v>395</v>
      </c>
      <c r="C27" s="31" t="s">
        <v>22</v>
      </c>
      <c r="D27" s="31" t="s">
        <v>23</v>
      </c>
      <c r="E27" s="31" t="s">
        <v>24</v>
      </c>
      <c r="F27" s="31" t="s">
        <v>24</v>
      </c>
      <c r="G27" s="31" t="s">
        <v>25</v>
      </c>
      <c r="H27" s="31" t="s">
        <v>25</v>
      </c>
      <c r="I27" s="31" t="s">
        <v>25</v>
      </c>
      <c r="J27" s="31" t="s">
        <v>540</v>
      </c>
      <c r="K27" s="31" t="s">
        <v>541</v>
      </c>
      <c r="L27" s="31" t="s">
        <v>68</v>
      </c>
      <c r="M27" s="31">
        <v>2021</v>
      </c>
      <c r="N27" s="31">
        <v>0</v>
      </c>
      <c r="O27" s="31">
        <v>462.27</v>
      </c>
      <c r="P27" s="31">
        <v>56.639069329199003</v>
      </c>
    </row>
    <row r="28" spans="1:16" ht="11.25" customHeight="1" x14ac:dyDescent="0.3">
      <c r="A28" s="31">
        <v>27</v>
      </c>
      <c r="B28" s="31" t="s">
        <v>395</v>
      </c>
      <c r="C28" s="31" t="s">
        <v>38</v>
      </c>
      <c r="D28" s="31" t="s">
        <v>39</v>
      </c>
      <c r="E28" s="31" t="s">
        <v>25</v>
      </c>
      <c r="F28" s="31" t="s">
        <v>25</v>
      </c>
      <c r="G28" s="31" t="s">
        <v>77</v>
      </c>
      <c r="H28" s="31" t="s">
        <v>25</v>
      </c>
      <c r="I28" s="31" t="s">
        <v>34</v>
      </c>
      <c r="J28" s="31" t="s">
        <v>540</v>
      </c>
      <c r="K28" s="31" t="s">
        <v>541</v>
      </c>
      <c r="L28" s="31" t="s">
        <v>68</v>
      </c>
      <c r="M28" s="31">
        <v>2021</v>
      </c>
      <c r="N28" s="31">
        <v>0</v>
      </c>
      <c r="O28" s="31">
        <v>10.37</v>
      </c>
      <c r="P28" s="31">
        <v>0</v>
      </c>
    </row>
    <row r="29" spans="1:16" ht="11.25" customHeight="1" x14ac:dyDescent="0.3">
      <c r="A29" s="31">
        <v>28</v>
      </c>
      <c r="B29" s="31" t="s">
        <v>395</v>
      </c>
      <c r="C29" s="31" t="s">
        <v>38</v>
      </c>
      <c r="D29" s="31" t="s">
        <v>39</v>
      </c>
      <c r="E29" s="31" t="s">
        <v>25</v>
      </c>
      <c r="F29" s="31" t="s">
        <v>25</v>
      </c>
      <c r="G29" s="31" t="s">
        <v>77</v>
      </c>
      <c r="H29" s="31" t="s">
        <v>25</v>
      </c>
      <c r="I29" s="31" t="s">
        <v>40</v>
      </c>
      <c r="J29" s="31" t="s">
        <v>540</v>
      </c>
      <c r="K29" s="31" t="s">
        <v>541</v>
      </c>
      <c r="L29" s="31" t="s">
        <v>68</v>
      </c>
      <c r="M29" s="31">
        <v>2021</v>
      </c>
      <c r="N29" s="31">
        <v>0</v>
      </c>
      <c r="O29" s="31">
        <v>2306.39</v>
      </c>
      <c r="P29" s="31">
        <v>0</v>
      </c>
    </row>
    <row r="30" spans="1:16" ht="11.25" customHeight="1" x14ac:dyDescent="0.3">
      <c r="A30" s="31">
        <v>29</v>
      </c>
      <c r="B30" s="31" t="s">
        <v>395</v>
      </c>
      <c r="C30" s="31" t="s">
        <v>38</v>
      </c>
      <c r="D30" s="31" t="s">
        <v>73</v>
      </c>
      <c r="E30" s="31" t="s">
        <v>25</v>
      </c>
      <c r="F30" s="31" t="s">
        <v>25</v>
      </c>
      <c r="G30" s="31" t="s">
        <v>25</v>
      </c>
      <c r="H30" s="31" t="s">
        <v>25</v>
      </c>
      <c r="I30" s="31" t="s">
        <v>34</v>
      </c>
      <c r="J30" s="31" t="s">
        <v>542</v>
      </c>
      <c r="K30" s="31" t="s">
        <v>541</v>
      </c>
      <c r="L30" s="31" t="s">
        <v>74</v>
      </c>
      <c r="M30" s="31">
        <v>2021</v>
      </c>
      <c r="N30" s="31">
        <v>0</v>
      </c>
      <c r="O30" s="31">
        <v>29.84</v>
      </c>
      <c r="P30" s="31">
        <v>0</v>
      </c>
    </row>
    <row r="31" spans="1:16" ht="11.25" customHeight="1" x14ac:dyDescent="0.3">
      <c r="A31" s="31">
        <v>30</v>
      </c>
      <c r="B31" s="31" t="s">
        <v>423</v>
      </c>
      <c r="C31" s="31" t="s">
        <v>41</v>
      </c>
      <c r="D31" s="31" t="s">
        <v>67</v>
      </c>
      <c r="E31" s="31" t="s">
        <v>42</v>
      </c>
      <c r="F31" s="31" t="s">
        <v>86</v>
      </c>
      <c r="G31" s="31" t="s">
        <v>25</v>
      </c>
      <c r="H31" s="31" t="s">
        <v>25</v>
      </c>
      <c r="I31" s="31" t="s">
        <v>35</v>
      </c>
      <c r="J31" s="31" t="s">
        <v>540</v>
      </c>
      <c r="K31" s="31" t="s">
        <v>541</v>
      </c>
      <c r="L31" s="31" t="s">
        <v>68</v>
      </c>
      <c r="M31" s="31">
        <v>2021</v>
      </c>
      <c r="N31" s="31">
        <v>0</v>
      </c>
      <c r="O31" s="31">
        <v>186.14</v>
      </c>
      <c r="P31" s="31"/>
    </row>
    <row r="32" spans="1:16" ht="11.25" customHeight="1" x14ac:dyDescent="0.3">
      <c r="A32" s="31">
        <v>31</v>
      </c>
      <c r="B32" s="31" t="s">
        <v>395</v>
      </c>
      <c r="C32" s="31" t="s">
        <v>22</v>
      </c>
      <c r="D32" s="31" t="s">
        <v>23</v>
      </c>
      <c r="E32" s="31" t="s">
        <v>24</v>
      </c>
      <c r="F32" s="31" t="s">
        <v>29</v>
      </c>
      <c r="G32" s="31" t="s">
        <v>25</v>
      </c>
      <c r="H32" s="31" t="s">
        <v>25</v>
      </c>
      <c r="I32" s="31" t="s">
        <v>25</v>
      </c>
      <c r="J32" s="31" t="s">
        <v>540</v>
      </c>
      <c r="K32" s="31" t="s">
        <v>541</v>
      </c>
      <c r="L32" s="31" t="s">
        <v>68</v>
      </c>
      <c r="M32" s="31">
        <v>2021</v>
      </c>
      <c r="N32" s="31">
        <v>0</v>
      </c>
      <c r="O32" s="31">
        <v>128.82</v>
      </c>
      <c r="P32" s="31">
        <v>0</v>
      </c>
    </row>
    <row r="33" spans="1:16" ht="11.25" customHeight="1" x14ac:dyDescent="0.3">
      <c r="A33" s="31">
        <v>32</v>
      </c>
      <c r="B33" s="31" t="s">
        <v>395</v>
      </c>
      <c r="C33" s="31" t="s">
        <v>38</v>
      </c>
      <c r="D33" s="31" t="s">
        <v>73</v>
      </c>
      <c r="E33" s="31" t="s">
        <v>25</v>
      </c>
      <c r="F33" s="31" t="s">
        <v>25</v>
      </c>
      <c r="G33" s="31" t="s">
        <v>25</v>
      </c>
      <c r="H33" s="31" t="s">
        <v>25</v>
      </c>
      <c r="I33" s="31" t="s">
        <v>25</v>
      </c>
      <c r="J33" s="31" t="s">
        <v>540</v>
      </c>
      <c r="K33" s="31" t="s">
        <v>541</v>
      </c>
      <c r="L33" s="31" t="s">
        <v>68</v>
      </c>
      <c r="M33" s="31">
        <v>2021</v>
      </c>
      <c r="N33" s="31">
        <v>0</v>
      </c>
      <c r="O33" s="31">
        <v>93.48</v>
      </c>
      <c r="P33" s="31">
        <v>49.275990316403103</v>
      </c>
    </row>
    <row r="34" spans="1:16" ht="11.25" customHeight="1" x14ac:dyDescent="0.3">
      <c r="A34" s="31">
        <v>33</v>
      </c>
      <c r="B34" s="31" t="s">
        <v>395</v>
      </c>
      <c r="C34" s="31" t="s">
        <v>22</v>
      </c>
      <c r="D34" s="31" t="s">
        <v>23</v>
      </c>
      <c r="E34" s="31" t="s">
        <v>24</v>
      </c>
      <c r="F34" s="31" t="s">
        <v>30</v>
      </c>
      <c r="G34" s="31" t="s">
        <v>25</v>
      </c>
      <c r="H34" s="31" t="s">
        <v>25</v>
      </c>
      <c r="I34" s="31" t="s">
        <v>25</v>
      </c>
      <c r="J34" s="31" t="s">
        <v>540</v>
      </c>
      <c r="K34" s="31" t="s">
        <v>541</v>
      </c>
      <c r="L34" s="31" t="s">
        <v>68</v>
      </c>
      <c r="M34" s="31">
        <v>2021</v>
      </c>
      <c r="N34" s="31">
        <v>0</v>
      </c>
      <c r="O34" s="31">
        <v>220.84</v>
      </c>
      <c r="P34" s="31">
        <v>0</v>
      </c>
    </row>
    <row r="35" spans="1:16" ht="11.25" customHeight="1" x14ac:dyDescent="0.3">
      <c r="A35" s="31">
        <v>34</v>
      </c>
      <c r="B35" s="31" t="s">
        <v>395</v>
      </c>
      <c r="C35" s="31" t="s">
        <v>41</v>
      </c>
      <c r="D35" s="31" t="s">
        <v>33</v>
      </c>
      <c r="E35" s="31" t="s">
        <v>42</v>
      </c>
      <c r="F35" s="31" t="s">
        <v>85</v>
      </c>
      <c r="G35" s="31" t="s">
        <v>25</v>
      </c>
      <c r="H35" s="31" t="s">
        <v>25</v>
      </c>
      <c r="I35" s="31" t="s">
        <v>40</v>
      </c>
      <c r="J35" s="31" t="s">
        <v>540</v>
      </c>
      <c r="K35" s="31" t="s">
        <v>541</v>
      </c>
      <c r="L35" s="31" t="s">
        <v>68</v>
      </c>
      <c r="M35" s="31">
        <v>2021</v>
      </c>
      <c r="N35" s="31">
        <v>0</v>
      </c>
      <c r="O35" s="31">
        <v>1036.19</v>
      </c>
      <c r="P35" s="31">
        <v>49.842381009695103</v>
      </c>
    </row>
    <row r="36" spans="1:16" ht="11.25" customHeight="1" x14ac:dyDescent="0.3">
      <c r="A36" s="31">
        <v>35</v>
      </c>
      <c r="B36" s="31" t="s">
        <v>395</v>
      </c>
      <c r="C36" s="31" t="s">
        <v>38</v>
      </c>
      <c r="D36" s="31" t="s">
        <v>39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40</v>
      </c>
      <c r="J36" s="31" t="s">
        <v>540</v>
      </c>
      <c r="K36" s="31" t="s">
        <v>541</v>
      </c>
      <c r="L36" s="31" t="s">
        <v>68</v>
      </c>
      <c r="M36" s="31">
        <v>2021</v>
      </c>
      <c r="N36" s="31">
        <v>0</v>
      </c>
      <c r="O36" s="31">
        <v>2389.5</v>
      </c>
      <c r="P36" s="31">
        <v>49.275990316403103</v>
      </c>
    </row>
    <row r="37" spans="1:16" ht="11.25" customHeight="1" x14ac:dyDescent="0.3">
      <c r="A37" s="31">
        <v>36</v>
      </c>
      <c r="B37" s="31" t="s">
        <v>395</v>
      </c>
      <c r="C37" s="31" t="s">
        <v>22</v>
      </c>
      <c r="D37" s="31" t="s">
        <v>84</v>
      </c>
      <c r="E37" s="31" t="s">
        <v>24</v>
      </c>
      <c r="F37" s="31" t="s">
        <v>32</v>
      </c>
      <c r="G37" s="31" t="s">
        <v>25</v>
      </c>
      <c r="H37" s="31" t="s">
        <v>25</v>
      </c>
      <c r="I37" s="31" t="s">
        <v>25</v>
      </c>
      <c r="J37" s="31" t="s">
        <v>540</v>
      </c>
      <c r="K37" s="31" t="s">
        <v>541</v>
      </c>
      <c r="L37" s="31" t="s">
        <v>68</v>
      </c>
      <c r="M37" s="31">
        <v>2021</v>
      </c>
      <c r="N37" s="31">
        <v>0</v>
      </c>
      <c r="O37" s="31">
        <v>368.07</v>
      </c>
      <c r="P37" s="31">
        <v>0</v>
      </c>
    </row>
    <row r="38" spans="1:16" ht="11.25" customHeight="1" x14ac:dyDescent="0.3">
      <c r="A38" s="31">
        <v>37</v>
      </c>
      <c r="B38" s="31" t="s">
        <v>395</v>
      </c>
      <c r="C38" s="31" t="s">
        <v>38</v>
      </c>
      <c r="D38" s="31" t="s">
        <v>78</v>
      </c>
      <c r="E38" s="31" t="s">
        <v>25</v>
      </c>
      <c r="F38" s="31" t="s">
        <v>25</v>
      </c>
      <c r="G38" s="31" t="s">
        <v>25</v>
      </c>
      <c r="H38" s="31" t="s">
        <v>25</v>
      </c>
      <c r="I38" s="31" t="s">
        <v>25</v>
      </c>
      <c r="J38" s="31" t="s">
        <v>542</v>
      </c>
      <c r="K38" s="31" t="s">
        <v>541</v>
      </c>
      <c r="L38" s="31" t="s">
        <v>74</v>
      </c>
      <c r="M38" s="31">
        <v>2021</v>
      </c>
      <c r="N38" s="31">
        <v>0</v>
      </c>
      <c r="O38" s="31">
        <v>12.57</v>
      </c>
      <c r="P38" s="31">
        <v>0</v>
      </c>
    </row>
    <row r="39" spans="1:16" ht="11.25" customHeight="1" x14ac:dyDescent="0.3">
      <c r="A39" s="31">
        <v>38</v>
      </c>
      <c r="B39" s="31" t="s">
        <v>395</v>
      </c>
      <c r="C39" s="31" t="s">
        <v>22</v>
      </c>
      <c r="D39" s="31" t="s">
        <v>84</v>
      </c>
      <c r="E39" s="31" t="s">
        <v>24</v>
      </c>
      <c r="F39" s="31" t="s">
        <v>31</v>
      </c>
      <c r="G39" s="31" t="s">
        <v>25</v>
      </c>
      <c r="H39" s="31" t="s">
        <v>25</v>
      </c>
      <c r="I39" s="31" t="s">
        <v>25</v>
      </c>
      <c r="J39" s="31" t="s">
        <v>540</v>
      </c>
      <c r="K39" s="31" t="s">
        <v>541</v>
      </c>
      <c r="L39" s="31" t="s">
        <v>68</v>
      </c>
      <c r="M39" s="31">
        <v>2021</v>
      </c>
      <c r="N39" s="31">
        <v>0</v>
      </c>
      <c r="O39" s="31">
        <v>331.26</v>
      </c>
      <c r="P39" s="31">
        <v>0</v>
      </c>
    </row>
    <row r="40" spans="1:16" ht="11.25" customHeight="1" x14ac:dyDescent="0.3">
      <c r="A40" s="31">
        <v>39</v>
      </c>
      <c r="B40" s="31" t="s">
        <v>395</v>
      </c>
      <c r="C40" s="31" t="s">
        <v>41</v>
      </c>
      <c r="D40" s="31" t="s">
        <v>23</v>
      </c>
      <c r="E40" s="31" t="s">
        <v>42</v>
      </c>
      <c r="F40" s="31" t="s">
        <v>25</v>
      </c>
      <c r="G40" s="31" t="s">
        <v>25</v>
      </c>
      <c r="H40" s="31" t="s">
        <v>25</v>
      </c>
      <c r="I40" s="31" t="s">
        <v>25</v>
      </c>
      <c r="J40" s="31" t="s">
        <v>540</v>
      </c>
      <c r="K40" s="31" t="s">
        <v>541</v>
      </c>
      <c r="L40" s="31" t="s">
        <v>68</v>
      </c>
      <c r="M40" s="31">
        <v>2021</v>
      </c>
      <c r="N40" s="31">
        <v>0</v>
      </c>
      <c r="O40" s="31">
        <v>406.8</v>
      </c>
      <c r="P40" s="31">
        <v>49.842381009695103</v>
      </c>
    </row>
    <row r="41" spans="1:16" ht="11.25" customHeight="1" x14ac:dyDescent="0.3">
      <c r="A41" s="31">
        <v>40</v>
      </c>
      <c r="B41" s="31" t="s">
        <v>395</v>
      </c>
      <c r="C41" s="31" t="s">
        <v>38</v>
      </c>
      <c r="D41" s="31" t="s">
        <v>39</v>
      </c>
      <c r="E41" s="31" t="s">
        <v>25</v>
      </c>
      <c r="F41" s="31" t="s">
        <v>25</v>
      </c>
      <c r="G41" s="31" t="s">
        <v>25</v>
      </c>
      <c r="H41" s="31" t="s">
        <v>25</v>
      </c>
      <c r="I41" s="31" t="s">
        <v>34</v>
      </c>
      <c r="J41" s="31" t="s">
        <v>540</v>
      </c>
      <c r="K41" s="31" t="s">
        <v>541</v>
      </c>
      <c r="L41" s="31" t="s">
        <v>68</v>
      </c>
      <c r="M41" s="31">
        <v>2021</v>
      </c>
      <c r="N41" s="31">
        <v>0</v>
      </c>
      <c r="O41" s="31">
        <v>93.48</v>
      </c>
      <c r="P41" s="31">
        <v>49.275990316403103</v>
      </c>
    </row>
    <row r="42" spans="1:16" ht="11.25" customHeight="1" x14ac:dyDescent="0.3">
      <c r="A42" s="31">
        <v>41</v>
      </c>
      <c r="B42" s="31" t="s">
        <v>395</v>
      </c>
      <c r="C42" s="31" t="s">
        <v>41</v>
      </c>
      <c r="D42" s="31" t="s">
        <v>33</v>
      </c>
      <c r="E42" s="31" t="s">
        <v>42</v>
      </c>
      <c r="F42" s="31" t="s">
        <v>25</v>
      </c>
      <c r="G42" s="31" t="s">
        <v>25</v>
      </c>
      <c r="H42" s="31" t="s">
        <v>25</v>
      </c>
      <c r="I42" s="31" t="s">
        <v>40</v>
      </c>
      <c r="J42" s="31" t="s">
        <v>540</v>
      </c>
      <c r="K42" s="31" t="s">
        <v>541</v>
      </c>
      <c r="L42" s="31" t="s">
        <v>68</v>
      </c>
      <c r="M42" s="31">
        <v>2021</v>
      </c>
      <c r="N42" s="31">
        <v>0</v>
      </c>
      <c r="O42" s="31">
        <v>1036.19</v>
      </c>
      <c r="P42" s="31">
        <v>49.842381009695103</v>
      </c>
    </row>
    <row r="43" spans="1:16" ht="11.25" customHeight="1" x14ac:dyDescent="0.3">
      <c r="A43" s="31">
        <v>42</v>
      </c>
      <c r="B43" s="31" t="s">
        <v>395</v>
      </c>
      <c r="C43" s="31" t="s">
        <v>41</v>
      </c>
      <c r="D43" s="31" t="s">
        <v>23</v>
      </c>
      <c r="E43" s="31" t="s">
        <v>42</v>
      </c>
      <c r="F43" s="31" t="s">
        <v>85</v>
      </c>
      <c r="G43" s="31" t="s">
        <v>25</v>
      </c>
      <c r="H43" s="31" t="s">
        <v>25</v>
      </c>
      <c r="I43" s="31" t="s">
        <v>25</v>
      </c>
      <c r="J43" s="31" t="s">
        <v>540</v>
      </c>
      <c r="K43" s="31" t="s">
        <v>541</v>
      </c>
      <c r="L43" s="31" t="s">
        <v>68</v>
      </c>
      <c r="M43" s="31">
        <v>2021</v>
      </c>
      <c r="N43" s="31">
        <v>0</v>
      </c>
      <c r="O43" s="31">
        <v>406.8</v>
      </c>
      <c r="P43" s="31">
        <v>49.842381009695103</v>
      </c>
    </row>
    <row r="44" spans="1:16" ht="11.25" customHeight="1" x14ac:dyDescent="0.3">
      <c r="A44" s="31">
        <v>43</v>
      </c>
      <c r="B44" s="31" t="s">
        <v>395</v>
      </c>
      <c r="C44" s="31" t="s">
        <v>22</v>
      </c>
      <c r="D44" s="31" t="s">
        <v>23</v>
      </c>
      <c r="E44" s="31" t="s">
        <v>24</v>
      </c>
      <c r="F44" s="31" t="s">
        <v>31</v>
      </c>
      <c r="G44" s="31" t="s">
        <v>25</v>
      </c>
      <c r="H44" s="31" t="s">
        <v>25</v>
      </c>
      <c r="I44" s="31" t="s">
        <v>25</v>
      </c>
      <c r="J44" s="31" t="s">
        <v>540</v>
      </c>
      <c r="K44" s="31" t="s">
        <v>541</v>
      </c>
      <c r="L44" s="31" t="s">
        <v>68</v>
      </c>
      <c r="M44" s="31">
        <v>2021</v>
      </c>
      <c r="N44" s="31">
        <v>0</v>
      </c>
      <c r="O44" s="31">
        <v>331.26</v>
      </c>
      <c r="P44" s="31">
        <v>0</v>
      </c>
    </row>
    <row r="45" spans="1:16" ht="11.25" customHeight="1" x14ac:dyDescent="0.3">
      <c r="A45" s="31">
        <v>44</v>
      </c>
      <c r="B45" s="31" t="s">
        <v>395</v>
      </c>
      <c r="C45" s="31" t="s">
        <v>41</v>
      </c>
      <c r="D45" s="31" t="s">
        <v>33</v>
      </c>
      <c r="E45" s="31" t="s">
        <v>42</v>
      </c>
      <c r="F45" s="31" t="s">
        <v>85</v>
      </c>
      <c r="G45" s="31" t="s">
        <v>25</v>
      </c>
      <c r="H45" s="31" t="s">
        <v>25</v>
      </c>
      <c r="I45" s="31" t="s">
        <v>35</v>
      </c>
      <c r="J45" s="31" t="s">
        <v>540</v>
      </c>
      <c r="K45" s="31" t="s">
        <v>541</v>
      </c>
      <c r="L45" s="31" t="s">
        <v>68</v>
      </c>
      <c r="M45" s="31">
        <v>2021</v>
      </c>
      <c r="N45" s="31">
        <v>0</v>
      </c>
      <c r="O45" s="31">
        <v>664.55</v>
      </c>
      <c r="P45" s="31">
        <v>49.842381009695103</v>
      </c>
    </row>
    <row r="46" spans="1:16" ht="11.25" customHeight="1" x14ac:dyDescent="0.3">
      <c r="A46" s="31">
        <v>45</v>
      </c>
      <c r="B46" s="31" t="s">
        <v>395</v>
      </c>
      <c r="C46" s="31" t="s">
        <v>38</v>
      </c>
      <c r="D46" s="31" t="s">
        <v>73</v>
      </c>
      <c r="E46" s="31" t="s">
        <v>25</v>
      </c>
      <c r="F46" s="31" t="s">
        <v>25</v>
      </c>
      <c r="G46" s="31" t="s">
        <v>25</v>
      </c>
      <c r="H46" s="31" t="s">
        <v>25</v>
      </c>
      <c r="I46" s="31" t="s">
        <v>40</v>
      </c>
      <c r="J46" s="31" t="s">
        <v>542</v>
      </c>
      <c r="K46" s="31" t="s">
        <v>541</v>
      </c>
      <c r="L46" s="31" t="s">
        <v>74</v>
      </c>
      <c r="M46" s="31">
        <v>2021</v>
      </c>
      <c r="N46" s="31">
        <v>0</v>
      </c>
      <c r="O46" s="31">
        <v>95.47</v>
      </c>
      <c r="P46" s="31">
        <v>0</v>
      </c>
    </row>
    <row r="47" spans="1:16" ht="11.25" customHeight="1" x14ac:dyDescent="0.3">
      <c r="A47" s="31">
        <v>46</v>
      </c>
      <c r="B47" s="31" t="s">
        <v>395</v>
      </c>
      <c r="C47" s="31" t="s">
        <v>22</v>
      </c>
      <c r="D47" s="31" t="s">
        <v>84</v>
      </c>
      <c r="E47" s="31" t="s">
        <v>24</v>
      </c>
      <c r="F47" s="31" t="s">
        <v>29</v>
      </c>
      <c r="G47" s="31" t="s">
        <v>25</v>
      </c>
      <c r="H47" s="31" t="s">
        <v>25</v>
      </c>
      <c r="I47" s="31" t="s">
        <v>25</v>
      </c>
      <c r="J47" s="31" t="s">
        <v>540</v>
      </c>
      <c r="K47" s="31" t="s">
        <v>541</v>
      </c>
      <c r="L47" s="31" t="s">
        <v>68</v>
      </c>
      <c r="M47" s="31">
        <v>2021</v>
      </c>
      <c r="N47" s="31">
        <v>0</v>
      </c>
      <c r="O47" s="31">
        <v>128.82</v>
      </c>
      <c r="P47" s="31">
        <v>0</v>
      </c>
    </row>
    <row r="48" spans="1:16" ht="11.25" customHeight="1" x14ac:dyDescent="0.3">
      <c r="A48" s="31">
        <v>47</v>
      </c>
      <c r="B48" s="31" t="s">
        <v>395</v>
      </c>
      <c r="C48" s="31" t="s">
        <v>38</v>
      </c>
      <c r="D48" s="31" t="s">
        <v>39</v>
      </c>
      <c r="E48" s="31" t="s">
        <v>25</v>
      </c>
      <c r="F48" s="31" t="s">
        <v>25</v>
      </c>
      <c r="G48" s="31" t="s">
        <v>25</v>
      </c>
      <c r="H48" s="31" t="s">
        <v>25</v>
      </c>
      <c r="I48" s="31" t="s">
        <v>25</v>
      </c>
      <c r="J48" s="31" t="s">
        <v>542</v>
      </c>
      <c r="K48" s="31" t="s">
        <v>541</v>
      </c>
      <c r="L48" s="31" t="s">
        <v>74</v>
      </c>
      <c r="M48" s="31">
        <v>2021</v>
      </c>
      <c r="N48" s="31">
        <v>0</v>
      </c>
      <c r="O48" s="31">
        <v>29.84</v>
      </c>
      <c r="P48" s="31">
        <v>0</v>
      </c>
    </row>
    <row r="49" spans="1:16" ht="11.25" customHeight="1" x14ac:dyDescent="0.3">
      <c r="A49" s="31">
        <v>48</v>
      </c>
      <c r="B49" s="31" t="s">
        <v>395</v>
      </c>
      <c r="C49" s="31" t="s">
        <v>22</v>
      </c>
      <c r="D49" s="31" t="s">
        <v>23</v>
      </c>
      <c r="E49" s="31" t="s">
        <v>24</v>
      </c>
      <c r="F49" s="31" t="s">
        <v>32</v>
      </c>
      <c r="G49" s="31" t="s">
        <v>25</v>
      </c>
      <c r="H49" s="31" t="s">
        <v>25</v>
      </c>
      <c r="I49" s="31" t="s">
        <v>25</v>
      </c>
      <c r="J49" s="31" t="s">
        <v>540</v>
      </c>
      <c r="K49" s="31" t="s">
        <v>541</v>
      </c>
      <c r="L49" s="31" t="s">
        <v>68</v>
      </c>
      <c r="M49" s="31">
        <v>2021</v>
      </c>
      <c r="N49" s="31">
        <v>0</v>
      </c>
      <c r="O49" s="31">
        <v>368.07</v>
      </c>
      <c r="P49" s="31">
        <v>0</v>
      </c>
    </row>
    <row r="50" spans="1:16" ht="11.25" customHeight="1" x14ac:dyDescent="0.3">
      <c r="A50" s="31">
        <v>49</v>
      </c>
      <c r="B50" s="31" t="s">
        <v>395</v>
      </c>
      <c r="C50" s="31" t="s">
        <v>41</v>
      </c>
      <c r="D50" s="31" t="s">
        <v>33</v>
      </c>
      <c r="E50" s="31" t="s">
        <v>42</v>
      </c>
      <c r="F50" s="31" t="s">
        <v>85</v>
      </c>
      <c r="G50" s="31" t="s">
        <v>25</v>
      </c>
      <c r="H50" s="31" t="s">
        <v>25</v>
      </c>
      <c r="I50" s="31" t="s">
        <v>34</v>
      </c>
      <c r="J50" s="31" t="s">
        <v>540</v>
      </c>
      <c r="K50" s="31" t="s">
        <v>541</v>
      </c>
      <c r="L50" s="31" t="s">
        <v>68</v>
      </c>
      <c r="M50" s="31">
        <v>2021</v>
      </c>
      <c r="N50" s="31">
        <v>0</v>
      </c>
      <c r="O50" s="31">
        <v>292.92</v>
      </c>
      <c r="P50" s="31">
        <v>49.842381009695103</v>
      </c>
    </row>
    <row r="51" spans="1:16" ht="11.25" customHeight="1" x14ac:dyDescent="0.3">
      <c r="A51" s="31">
        <v>50</v>
      </c>
      <c r="B51" s="31" t="s">
        <v>395</v>
      </c>
      <c r="C51" s="31" t="s">
        <v>22</v>
      </c>
      <c r="D51" s="31" t="s">
        <v>84</v>
      </c>
      <c r="E51" s="31" t="s">
        <v>24</v>
      </c>
      <c r="F51" s="31" t="s">
        <v>30</v>
      </c>
      <c r="G51" s="31" t="s">
        <v>25</v>
      </c>
      <c r="H51" s="31" t="s">
        <v>25</v>
      </c>
      <c r="I51" s="31" t="s">
        <v>25</v>
      </c>
      <c r="J51" s="31" t="s">
        <v>540</v>
      </c>
      <c r="K51" s="31" t="s">
        <v>541</v>
      </c>
      <c r="L51" s="31" t="s">
        <v>68</v>
      </c>
      <c r="M51" s="31">
        <v>2021</v>
      </c>
      <c r="N51" s="31">
        <v>0</v>
      </c>
      <c r="O51" s="31">
        <v>220.84</v>
      </c>
      <c r="P51" s="31">
        <v>0</v>
      </c>
    </row>
    <row r="52" spans="1:16" ht="11.25" customHeight="1" x14ac:dyDescent="0.3">
      <c r="A52" s="31">
        <v>51</v>
      </c>
      <c r="B52" s="31" t="s">
        <v>395</v>
      </c>
      <c r="C52" s="31" t="s">
        <v>41</v>
      </c>
      <c r="D52" s="31" t="s">
        <v>33</v>
      </c>
      <c r="E52" s="31" t="s">
        <v>42</v>
      </c>
      <c r="F52" s="31" t="s">
        <v>86</v>
      </c>
      <c r="G52" s="31" t="s">
        <v>25</v>
      </c>
      <c r="H52" s="31" t="s">
        <v>25</v>
      </c>
      <c r="I52" s="31" t="s">
        <v>35</v>
      </c>
      <c r="J52" s="31" t="s">
        <v>540</v>
      </c>
      <c r="K52" s="31" t="s">
        <v>541</v>
      </c>
      <c r="L52" s="31" t="s">
        <v>68</v>
      </c>
      <c r="M52" s="31">
        <v>2021</v>
      </c>
      <c r="N52" s="31">
        <v>0</v>
      </c>
      <c r="O52" s="31">
        <v>634.35</v>
      </c>
      <c r="P52" s="31">
        <v>47.576818236527103</v>
      </c>
    </row>
    <row r="53" spans="1:16" ht="11.25" customHeight="1" x14ac:dyDescent="0.3">
      <c r="A53" s="31">
        <v>52</v>
      </c>
      <c r="B53" s="31" t="s">
        <v>395</v>
      </c>
      <c r="C53" s="31" t="s">
        <v>41</v>
      </c>
      <c r="D53" s="31" t="s">
        <v>33</v>
      </c>
      <c r="E53" s="31" t="s">
        <v>42</v>
      </c>
      <c r="F53" s="31" t="s">
        <v>86</v>
      </c>
      <c r="G53" s="31" t="s">
        <v>25</v>
      </c>
      <c r="H53" s="31" t="s">
        <v>25</v>
      </c>
      <c r="I53" s="31" t="s">
        <v>40</v>
      </c>
      <c r="J53" s="31" t="s">
        <v>540</v>
      </c>
      <c r="K53" s="31" t="s">
        <v>541</v>
      </c>
      <c r="L53" s="31" t="s">
        <v>68</v>
      </c>
      <c r="M53" s="31">
        <v>2021</v>
      </c>
      <c r="N53" s="31">
        <v>0</v>
      </c>
      <c r="O53" s="31">
        <v>989.09</v>
      </c>
      <c r="P53" s="31">
        <v>47.576818236527103</v>
      </c>
    </row>
    <row r="54" spans="1:16" ht="11.25" customHeight="1" x14ac:dyDescent="0.3">
      <c r="A54" s="31">
        <v>53</v>
      </c>
      <c r="B54" s="31" t="s">
        <v>395</v>
      </c>
      <c r="C54" s="31" t="s">
        <v>44</v>
      </c>
      <c r="D54" s="31" t="s">
        <v>23</v>
      </c>
      <c r="E54" s="31" t="s">
        <v>45</v>
      </c>
      <c r="F54" s="31" t="s">
        <v>87</v>
      </c>
      <c r="G54" s="31" t="s">
        <v>25</v>
      </c>
      <c r="H54" s="31" t="s">
        <v>25</v>
      </c>
      <c r="I54" s="31" t="s">
        <v>25</v>
      </c>
      <c r="J54" s="31" t="s">
        <v>540</v>
      </c>
      <c r="K54" s="31" t="s">
        <v>541</v>
      </c>
      <c r="L54" s="31" t="s">
        <v>68</v>
      </c>
      <c r="M54" s="31">
        <v>2021</v>
      </c>
      <c r="N54" s="31">
        <v>0</v>
      </c>
      <c r="O54" s="31">
        <v>277.36</v>
      </c>
      <c r="P54" s="31">
        <v>33.983441597519402</v>
      </c>
    </row>
    <row r="55" spans="1:16" ht="11.25" customHeight="1" x14ac:dyDescent="0.3">
      <c r="A55" s="31">
        <v>54</v>
      </c>
      <c r="B55" s="31" t="s">
        <v>395</v>
      </c>
      <c r="C55" s="31" t="s">
        <v>41</v>
      </c>
      <c r="D55" s="31" t="s">
        <v>23</v>
      </c>
      <c r="E55" s="31" t="s">
        <v>42</v>
      </c>
      <c r="F55" s="31" t="s">
        <v>86</v>
      </c>
      <c r="G55" s="31" t="s">
        <v>25</v>
      </c>
      <c r="H55" s="31" t="s">
        <v>25</v>
      </c>
      <c r="I55" s="31" t="s">
        <v>25</v>
      </c>
      <c r="J55" s="31" t="s">
        <v>540</v>
      </c>
      <c r="K55" s="31" t="s">
        <v>541</v>
      </c>
      <c r="L55" s="31" t="s">
        <v>68</v>
      </c>
      <c r="M55" s="31">
        <v>2021</v>
      </c>
      <c r="N55" s="31">
        <v>0</v>
      </c>
      <c r="O55" s="31">
        <v>388.31</v>
      </c>
      <c r="P55" s="31">
        <v>47.576818236527103</v>
      </c>
    </row>
    <row r="56" spans="1:16" ht="11.25" customHeight="1" x14ac:dyDescent="0.3">
      <c r="A56" s="31">
        <v>55</v>
      </c>
      <c r="B56" s="31" t="s">
        <v>423</v>
      </c>
      <c r="C56" s="31" t="s">
        <v>22</v>
      </c>
      <c r="D56" s="31" t="s">
        <v>67</v>
      </c>
      <c r="E56" s="31" t="s">
        <v>24</v>
      </c>
      <c r="F56" s="31" t="s">
        <v>24</v>
      </c>
      <c r="G56" s="31" t="s">
        <v>25</v>
      </c>
      <c r="H56" s="31" t="s">
        <v>25</v>
      </c>
      <c r="I56" s="31" t="s">
        <v>40</v>
      </c>
      <c r="J56" s="31" t="s">
        <v>540</v>
      </c>
      <c r="K56" s="31" t="s">
        <v>541</v>
      </c>
      <c r="L56" s="31" t="s">
        <v>68</v>
      </c>
      <c r="M56" s="31">
        <v>2021</v>
      </c>
      <c r="N56" s="31">
        <v>0</v>
      </c>
      <c r="O56" s="31">
        <v>221.6</v>
      </c>
      <c r="P56" s="31"/>
    </row>
    <row r="57" spans="1:16" ht="11.25" customHeight="1" x14ac:dyDescent="0.3">
      <c r="A57" s="31">
        <v>56</v>
      </c>
      <c r="B57" s="31" t="s">
        <v>395</v>
      </c>
      <c r="C57" s="31" t="s">
        <v>41</v>
      </c>
      <c r="D57" s="31" t="s">
        <v>84</v>
      </c>
      <c r="E57" s="31" t="s">
        <v>42</v>
      </c>
      <c r="F57" s="31" t="s">
        <v>85</v>
      </c>
      <c r="G57" s="31" t="s">
        <v>25</v>
      </c>
      <c r="H57" s="31" t="s">
        <v>25</v>
      </c>
      <c r="I57" s="31" t="s">
        <v>25</v>
      </c>
      <c r="J57" s="31" t="s">
        <v>540</v>
      </c>
      <c r="K57" s="31" t="s">
        <v>541</v>
      </c>
      <c r="L57" s="31" t="s">
        <v>68</v>
      </c>
      <c r="M57" s="31">
        <v>2021</v>
      </c>
      <c r="N57" s="31">
        <v>0</v>
      </c>
      <c r="O57" s="31">
        <v>406.8</v>
      </c>
      <c r="P57" s="31">
        <v>49.842381009695103</v>
      </c>
    </row>
    <row r="58" spans="1:16" ht="11.25" customHeight="1" x14ac:dyDescent="0.3">
      <c r="A58" s="31">
        <v>57</v>
      </c>
      <c r="B58" s="31" t="s">
        <v>423</v>
      </c>
      <c r="C58" s="31" t="s">
        <v>22</v>
      </c>
      <c r="D58" s="31" t="s">
        <v>71</v>
      </c>
      <c r="E58" s="31" t="s">
        <v>24</v>
      </c>
      <c r="F58" s="31" t="s">
        <v>24</v>
      </c>
      <c r="G58" s="31" t="s">
        <v>25</v>
      </c>
      <c r="H58" s="31" t="s">
        <v>25</v>
      </c>
      <c r="I58" s="31" t="s">
        <v>25</v>
      </c>
      <c r="J58" s="31" t="s">
        <v>540</v>
      </c>
      <c r="K58" s="31" t="s">
        <v>541</v>
      </c>
      <c r="L58" s="31" t="s">
        <v>68</v>
      </c>
      <c r="M58" s="31">
        <v>2021</v>
      </c>
      <c r="N58" s="31">
        <v>0</v>
      </c>
      <c r="O58" s="31">
        <v>221.6</v>
      </c>
      <c r="P58" s="31"/>
    </row>
    <row r="59" spans="1:16" ht="11.25" customHeight="1" x14ac:dyDescent="0.3">
      <c r="A59" s="31">
        <v>58</v>
      </c>
      <c r="B59" s="31" t="s">
        <v>395</v>
      </c>
      <c r="C59" s="31" t="s">
        <v>41</v>
      </c>
      <c r="D59" s="31" t="s">
        <v>33</v>
      </c>
      <c r="E59" s="31" t="s">
        <v>42</v>
      </c>
      <c r="F59" s="31" t="s">
        <v>25</v>
      </c>
      <c r="G59" s="31" t="s">
        <v>25</v>
      </c>
      <c r="H59" s="31" t="s">
        <v>25</v>
      </c>
      <c r="I59" s="31" t="s">
        <v>35</v>
      </c>
      <c r="J59" s="31" t="s">
        <v>540</v>
      </c>
      <c r="K59" s="31" t="s">
        <v>541</v>
      </c>
      <c r="L59" s="31" t="s">
        <v>68</v>
      </c>
      <c r="M59" s="31">
        <v>2021</v>
      </c>
      <c r="N59" s="31">
        <v>0</v>
      </c>
      <c r="O59" s="31">
        <v>664.55</v>
      </c>
      <c r="P59" s="31">
        <v>49.842381009695103</v>
      </c>
    </row>
    <row r="60" spans="1:16" ht="11.25" customHeight="1" x14ac:dyDescent="0.3">
      <c r="A60" s="31">
        <v>59</v>
      </c>
      <c r="B60" s="31" t="s">
        <v>395</v>
      </c>
      <c r="C60" s="31" t="s">
        <v>41</v>
      </c>
      <c r="D60" s="31" t="s">
        <v>33</v>
      </c>
      <c r="E60" s="31" t="s">
        <v>42</v>
      </c>
      <c r="F60" s="31" t="s">
        <v>25</v>
      </c>
      <c r="G60" s="31" t="s">
        <v>25</v>
      </c>
      <c r="H60" s="31" t="s">
        <v>25</v>
      </c>
      <c r="I60" s="31" t="s">
        <v>34</v>
      </c>
      <c r="J60" s="31" t="s">
        <v>540</v>
      </c>
      <c r="K60" s="31" t="s">
        <v>541</v>
      </c>
      <c r="L60" s="31" t="s">
        <v>68</v>
      </c>
      <c r="M60" s="31">
        <v>2021</v>
      </c>
      <c r="N60" s="31">
        <v>0</v>
      </c>
      <c r="O60" s="31">
        <v>292.92</v>
      </c>
      <c r="P60" s="31">
        <v>49.842381009695103</v>
      </c>
    </row>
    <row r="61" spans="1:16" ht="11.25" customHeight="1" x14ac:dyDescent="0.3">
      <c r="A61" s="31">
        <v>60</v>
      </c>
      <c r="B61" s="31" t="s">
        <v>395</v>
      </c>
      <c r="C61" s="31" t="s">
        <v>36</v>
      </c>
      <c r="D61" s="31" t="s">
        <v>33</v>
      </c>
      <c r="E61" s="31" t="s">
        <v>25</v>
      </c>
      <c r="F61" s="31" t="s">
        <v>25</v>
      </c>
      <c r="G61" s="31" t="s">
        <v>25</v>
      </c>
      <c r="H61" s="31" t="s">
        <v>25</v>
      </c>
      <c r="I61" s="31" t="s">
        <v>35</v>
      </c>
      <c r="J61" s="31" t="s">
        <v>540</v>
      </c>
      <c r="K61" s="31" t="s">
        <v>541</v>
      </c>
      <c r="L61" s="31" t="s">
        <v>68</v>
      </c>
      <c r="M61" s="31">
        <v>2021</v>
      </c>
      <c r="N61" s="31">
        <v>0</v>
      </c>
      <c r="O61" s="31">
        <v>775.61</v>
      </c>
      <c r="P61" s="31">
        <v>56.639069329199003</v>
      </c>
    </row>
    <row r="62" spans="1:16" ht="11.25" customHeight="1" x14ac:dyDescent="0.3">
      <c r="A62" s="31">
        <v>61</v>
      </c>
      <c r="B62" s="31" t="s">
        <v>395</v>
      </c>
      <c r="C62" s="31" t="s">
        <v>36</v>
      </c>
      <c r="D62" s="31" t="s">
        <v>23</v>
      </c>
      <c r="E62" s="31" t="s">
        <v>25</v>
      </c>
      <c r="F62" s="31" t="s">
        <v>25</v>
      </c>
      <c r="G62" s="31" t="s">
        <v>25</v>
      </c>
      <c r="H62" s="31" t="s">
        <v>25</v>
      </c>
      <c r="I62" s="31" t="s">
        <v>25</v>
      </c>
      <c r="J62" s="31" t="s">
        <v>540</v>
      </c>
      <c r="K62" s="31" t="s">
        <v>541</v>
      </c>
      <c r="L62" s="31" t="s">
        <v>68</v>
      </c>
      <c r="M62" s="31">
        <v>2021</v>
      </c>
      <c r="N62" s="31">
        <v>0</v>
      </c>
      <c r="O62" s="31">
        <v>462.27</v>
      </c>
      <c r="P62" s="31">
        <v>56.639069329199003</v>
      </c>
    </row>
    <row r="63" spans="1:16" ht="11.25" customHeight="1" x14ac:dyDescent="0.3">
      <c r="A63" s="31">
        <v>62</v>
      </c>
      <c r="B63" s="31" t="s">
        <v>423</v>
      </c>
      <c r="C63" s="31" t="s">
        <v>22</v>
      </c>
      <c r="D63" s="31" t="s">
        <v>83</v>
      </c>
      <c r="E63" s="31" t="s">
        <v>24</v>
      </c>
      <c r="F63" s="31" t="s">
        <v>24</v>
      </c>
      <c r="G63" s="31" t="s">
        <v>25</v>
      </c>
      <c r="H63" s="31" t="s">
        <v>25</v>
      </c>
      <c r="I63" s="31" t="s">
        <v>25</v>
      </c>
      <c r="J63" s="31" t="s">
        <v>540</v>
      </c>
      <c r="K63" s="31" t="s">
        <v>541</v>
      </c>
      <c r="L63" s="31" t="s">
        <v>68</v>
      </c>
      <c r="M63" s="31">
        <v>2021</v>
      </c>
      <c r="N63" s="31">
        <v>0</v>
      </c>
      <c r="O63" s="31">
        <v>221.6</v>
      </c>
      <c r="P63" s="31"/>
    </row>
    <row r="64" spans="1:16" ht="11.25" customHeight="1" x14ac:dyDescent="0.3">
      <c r="A64" s="31">
        <v>63</v>
      </c>
      <c r="B64" s="31" t="s">
        <v>423</v>
      </c>
      <c r="C64" s="31" t="s">
        <v>22</v>
      </c>
      <c r="D64" s="31" t="s">
        <v>67</v>
      </c>
      <c r="E64" s="31" t="s">
        <v>24</v>
      </c>
      <c r="F64" s="31" t="s">
        <v>24</v>
      </c>
      <c r="G64" s="31" t="s">
        <v>25</v>
      </c>
      <c r="H64" s="31" t="s">
        <v>25</v>
      </c>
      <c r="I64" s="31" t="s">
        <v>34</v>
      </c>
      <c r="J64" s="31" t="s">
        <v>540</v>
      </c>
      <c r="K64" s="31" t="s">
        <v>541</v>
      </c>
      <c r="L64" s="31" t="s">
        <v>68</v>
      </c>
      <c r="M64" s="31">
        <v>2021</v>
      </c>
      <c r="N64" s="31">
        <v>0</v>
      </c>
      <c r="O64" s="31">
        <v>221.6</v>
      </c>
      <c r="P64" s="31"/>
    </row>
    <row r="65" spans="1:16" ht="11.25" customHeight="1" x14ac:dyDescent="0.3">
      <c r="A65" s="31">
        <v>64</v>
      </c>
      <c r="B65" s="31" t="s">
        <v>395</v>
      </c>
      <c r="C65" s="31" t="s">
        <v>41</v>
      </c>
      <c r="D65" s="31" t="s">
        <v>33</v>
      </c>
      <c r="E65" s="31" t="s">
        <v>42</v>
      </c>
      <c r="F65" s="31" t="s">
        <v>86</v>
      </c>
      <c r="G65" s="31" t="s">
        <v>25</v>
      </c>
      <c r="H65" s="31" t="s">
        <v>25</v>
      </c>
      <c r="I65" s="31" t="s">
        <v>34</v>
      </c>
      <c r="J65" s="31" t="s">
        <v>540</v>
      </c>
      <c r="K65" s="31" t="s">
        <v>541</v>
      </c>
      <c r="L65" s="31" t="s">
        <v>68</v>
      </c>
      <c r="M65" s="31">
        <v>2021</v>
      </c>
      <c r="N65" s="31">
        <v>0</v>
      </c>
      <c r="O65" s="31">
        <v>279.60000000000002</v>
      </c>
      <c r="P65" s="31">
        <v>47.576818236527103</v>
      </c>
    </row>
    <row r="66" spans="1:16" ht="11.25" customHeight="1" x14ac:dyDescent="0.3">
      <c r="A66" s="31">
        <v>65</v>
      </c>
      <c r="B66" s="31" t="s">
        <v>423</v>
      </c>
      <c r="C66" s="31" t="s">
        <v>38</v>
      </c>
      <c r="D66" s="31" t="s">
        <v>67</v>
      </c>
      <c r="E66" s="31" t="s">
        <v>25</v>
      </c>
      <c r="F66" s="31" t="s">
        <v>25</v>
      </c>
      <c r="G66" s="31" t="s">
        <v>25</v>
      </c>
      <c r="H66" s="31" t="s">
        <v>25</v>
      </c>
      <c r="I66" s="31" t="s">
        <v>34</v>
      </c>
      <c r="J66" s="31" t="s">
        <v>540</v>
      </c>
      <c r="K66" s="31" t="s">
        <v>541</v>
      </c>
      <c r="L66" s="31" t="s">
        <v>68</v>
      </c>
      <c r="M66" s="31">
        <v>2021</v>
      </c>
      <c r="N66" s="31">
        <v>0</v>
      </c>
      <c r="O66" s="31">
        <v>221.6</v>
      </c>
      <c r="P66" s="31"/>
    </row>
    <row r="67" spans="1:16" ht="11.25" customHeight="1" x14ac:dyDescent="0.3">
      <c r="A67" s="31">
        <v>66</v>
      </c>
      <c r="B67" s="31" t="s">
        <v>395</v>
      </c>
      <c r="C67" s="31" t="s">
        <v>22</v>
      </c>
      <c r="D67" s="31" t="s">
        <v>84</v>
      </c>
      <c r="E67" s="31" t="s">
        <v>24</v>
      </c>
      <c r="F67" s="31" t="s">
        <v>24</v>
      </c>
      <c r="G67" s="31" t="s">
        <v>25</v>
      </c>
      <c r="H67" s="31" t="s">
        <v>25</v>
      </c>
      <c r="I67" s="31" t="s">
        <v>25</v>
      </c>
      <c r="J67" s="31" t="s">
        <v>540</v>
      </c>
      <c r="K67" s="31" t="s">
        <v>541</v>
      </c>
      <c r="L67" s="31" t="s">
        <v>68</v>
      </c>
      <c r="M67" s="31">
        <v>2021</v>
      </c>
      <c r="N67" s="31">
        <v>0</v>
      </c>
      <c r="O67" s="31">
        <v>462.27</v>
      </c>
      <c r="P67" s="31">
        <v>56.639069329199003</v>
      </c>
    </row>
    <row r="68" spans="1:16" ht="11.25" customHeight="1" x14ac:dyDescent="0.3">
      <c r="A68" s="31">
        <v>67</v>
      </c>
      <c r="B68" s="31" t="s">
        <v>395</v>
      </c>
      <c r="C68" s="31" t="s">
        <v>44</v>
      </c>
      <c r="D68" s="31" t="s">
        <v>23</v>
      </c>
      <c r="E68" s="31" t="s">
        <v>45</v>
      </c>
      <c r="F68" s="31" t="s">
        <v>46</v>
      </c>
      <c r="G68" s="31" t="s">
        <v>25</v>
      </c>
      <c r="H68" s="31" t="s">
        <v>25</v>
      </c>
      <c r="I68" s="31" t="s">
        <v>25</v>
      </c>
      <c r="J68" s="31" t="s">
        <v>540</v>
      </c>
      <c r="K68" s="31" t="s">
        <v>541</v>
      </c>
      <c r="L68" s="31" t="s">
        <v>68</v>
      </c>
      <c r="M68" s="31">
        <v>2021</v>
      </c>
      <c r="N68" s="31">
        <v>0</v>
      </c>
      <c r="O68" s="31">
        <v>254.25</v>
      </c>
      <c r="P68" s="31">
        <v>31.151488131059399</v>
      </c>
    </row>
    <row r="69" spans="1:16" ht="11.25" customHeight="1" x14ac:dyDescent="0.3">
      <c r="A69" s="31">
        <v>68</v>
      </c>
      <c r="B69" s="31" t="s">
        <v>423</v>
      </c>
      <c r="C69" s="31" t="s">
        <v>22</v>
      </c>
      <c r="D69" s="31" t="s">
        <v>83</v>
      </c>
      <c r="E69" s="31" t="s">
        <v>24</v>
      </c>
      <c r="F69" s="31" t="s">
        <v>30</v>
      </c>
      <c r="G69" s="31" t="s">
        <v>25</v>
      </c>
      <c r="H69" s="31" t="s">
        <v>25</v>
      </c>
      <c r="I69" s="31" t="s">
        <v>25</v>
      </c>
      <c r="J69" s="31" t="s">
        <v>540</v>
      </c>
      <c r="K69" s="31" t="s">
        <v>541</v>
      </c>
      <c r="L69" s="31" t="s">
        <v>68</v>
      </c>
      <c r="M69" s="31">
        <v>2021</v>
      </c>
      <c r="N69" s="31">
        <v>0</v>
      </c>
      <c r="O69" s="31">
        <v>132.96</v>
      </c>
      <c r="P69" s="31"/>
    </row>
    <row r="70" spans="1:16" ht="11.25" customHeight="1" x14ac:dyDescent="0.3">
      <c r="A70" s="31">
        <v>69</v>
      </c>
      <c r="B70" s="31" t="s">
        <v>395</v>
      </c>
      <c r="C70" s="31" t="s">
        <v>41</v>
      </c>
      <c r="D70" s="31" t="s">
        <v>84</v>
      </c>
      <c r="E70" s="31" t="s">
        <v>42</v>
      </c>
      <c r="F70" s="31" t="s">
        <v>25</v>
      </c>
      <c r="G70" s="31" t="s">
        <v>25</v>
      </c>
      <c r="H70" s="31" t="s">
        <v>25</v>
      </c>
      <c r="I70" s="31" t="s">
        <v>25</v>
      </c>
      <c r="J70" s="31" t="s">
        <v>540</v>
      </c>
      <c r="K70" s="31" t="s">
        <v>541</v>
      </c>
      <c r="L70" s="31" t="s">
        <v>68</v>
      </c>
      <c r="M70" s="31">
        <v>2021</v>
      </c>
      <c r="N70" s="31">
        <v>0</v>
      </c>
      <c r="O70" s="31">
        <v>406.8</v>
      </c>
      <c r="P70" s="31">
        <v>49.842381009695103</v>
      </c>
    </row>
    <row r="71" spans="1:16" ht="11.25" customHeight="1" x14ac:dyDescent="0.3">
      <c r="A71" s="31">
        <v>70</v>
      </c>
      <c r="B71" s="31" t="s">
        <v>423</v>
      </c>
      <c r="C71" s="31" t="s">
        <v>22</v>
      </c>
      <c r="D71" s="31" t="s">
        <v>67</v>
      </c>
      <c r="E71" s="31" t="s">
        <v>24</v>
      </c>
      <c r="F71" s="31" t="s">
        <v>24</v>
      </c>
      <c r="G71" s="31" t="s">
        <v>25</v>
      </c>
      <c r="H71" s="31" t="s">
        <v>25</v>
      </c>
      <c r="I71" s="31" t="s">
        <v>35</v>
      </c>
      <c r="J71" s="31" t="s">
        <v>540</v>
      </c>
      <c r="K71" s="31" t="s">
        <v>541</v>
      </c>
      <c r="L71" s="31" t="s">
        <v>68</v>
      </c>
      <c r="M71" s="31">
        <v>2021</v>
      </c>
      <c r="N71" s="31">
        <v>0</v>
      </c>
      <c r="O71" s="31">
        <v>221.6</v>
      </c>
      <c r="P71" s="31"/>
    </row>
    <row r="72" spans="1:16" ht="11.25" customHeight="1" x14ac:dyDescent="0.3">
      <c r="A72" s="31">
        <v>71</v>
      </c>
      <c r="B72" s="31" t="s">
        <v>423</v>
      </c>
      <c r="C72" s="31" t="s">
        <v>22</v>
      </c>
      <c r="D72" s="31" t="s">
        <v>71</v>
      </c>
      <c r="E72" s="31" t="s">
        <v>24</v>
      </c>
      <c r="F72" s="31" t="s">
        <v>32</v>
      </c>
      <c r="G72" s="31" t="s">
        <v>25</v>
      </c>
      <c r="H72" s="31" t="s">
        <v>25</v>
      </c>
      <c r="I72" s="31" t="s">
        <v>25</v>
      </c>
      <c r="J72" s="31" t="s">
        <v>540</v>
      </c>
      <c r="K72" s="31" t="s">
        <v>541</v>
      </c>
      <c r="L72" s="31" t="s">
        <v>68</v>
      </c>
      <c r="M72" s="31">
        <v>2021</v>
      </c>
      <c r="N72" s="31">
        <v>0</v>
      </c>
      <c r="O72" s="31">
        <v>221.6</v>
      </c>
      <c r="P72" s="31"/>
    </row>
    <row r="73" spans="1:16" ht="11.25" customHeight="1" x14ac:dyDescent="0.3">
      <c r="A73" s="31">
        <v>72</v>
      </c>
      <c r="B73" s="31" t="s">
        <v>395</v>
      </c>
      <c r="C73" s="31" t="s">
        <v>36</v>
      </c>
      <c r="D73" s="31" t="s">
        <v>33</v>
      </c>
      <c r="E73" s="31" t="s">
        <v>25</v>
      </c>
      <c r="F73" s="31" t="s">
        <v>25</v>
      </c>
      <c r="G73" s="31" t="s">
        <v>25</v>
      </c>
      <c r="H73" s="31" t="s">
        <v>25</v>
      </c>
      <c r="I73" s="31" t="s">
        <v>40</v>
      </c>
      <c r="J73" s="31" t="s">
        <v>540</v>
      </c>
      <c r="K73" s="31" t="s">
        <v>541</v>
      </c>
      <c r="L73" s="31" t="s">
        <v>68</v>
      </c>
      <c r="M73" s="31">
        <v>2021</v>
      </c>
      <c r="N73" s="31">
        <v>0</v>
      </c>
      <c r="O73" s="31">
        <v>1211.54</v>
      </c>
      <c r="P73" s="31">
        <v>56.639069329199003</v>
      </c>
    </row>
    <row r="74" spans="1:16" ht="11.25" customHeight="1" x14ac:dyDescent="0.3">
      <c r="A74" s="31">
        <v>73</v>
      </c>
      <c r="B74" s="31" t="s">
        <v>395</v>
      </c>
      <c r="C74" s="31" t="s">
        <v>36</v>
      </c>
      <c r="D74" s="31" t="s">
        <v>33</v>
      </c>
      <c r="E74" s="31" t="s">
        <v>25</v>
      </c>
      <c r="F74" s="31" t="s">
        <v>25</v>
      </c>
      <c r="G74" s="31" t="s">
        <v>25</v>
      </c>
      <c r="H74" s="31" t="s">
        <v>25</v>
      </c>
      <c r="I74" s="31" t="s">
        <v>34</v>
      </c>
      <c r="J74" s="31" t="s">
        <v>540</v>
      </c>
      <c r="K74" s="31" t="s">
        <v>541</v>
      </c>
      <c r="L74" s="31" t="s">
        <v>68</v>
      </c>
      <c r="M74" s="31">
        <v>2021</v>
      </c>
      <c r="N74" s="31">
        <v>0</v>
      </c>
      <c r="O74" s="31">
        <v>339.67</v>
      </c>
      <c r="P74" s="31">
        <v>56.639069329199003</v>
      </c>
    </row>
    <row r="75" spans="1:16" ht="11.25" customHeight="1" x14ac:dyDescent="0.3">
      <c r="A75" s="31">
        <v>74</v>
      </c>
      <c r="B75" s="31" t="s">
        <v>423</v>
      </c>
      <c r="C75" s="31" t="s">
        <v>22</v>
      </c>
      <c r="D75" s="31" t="s">
        <v>71</v>
      </c>
      <c r="E75" s="31" t="s">
        <v>24</v>
      </c>
      <c r="F75" s="31" t="s">
        <v>31</v>
      </c>
      <c r="G75" s="31" t="s">
        <v>25</v>
      </c>
      <c r="H75" s="31" t="s">
        <v>25</v>
      </c>
      <c r="I75" s="31" t="s">
        <v>25</v>
      </c>
      <c r="J75" s="31" t="s">
        <v>540</v>
      </c>
      <c r="K75" s="31" t="s">
        <v>541</v>
      </c>
      <c r="L75" s="31" t="s">
        <v>68</v>
      </c>
      <c r="M75" s="31">
        <v>2021</v>
      </c>
      <c r="N75" s="31">
        <v>0</v>
      </c>
      <c r="O75" s="31">
        <v>199.44</v>
      </c>
      <c r="P75" s="31"/>
    </row>
    <row r="76" spans="1:16" ht="11.25" customHeight="1" x14ac:dyDescent="0.3">
      <c r="A76" s="31">
        <v>75</v>
      </c>
      <c r="B76" s="31" t="s">
        <v>395</v>
      </c>
      <c r="C76" s="31" t="s">
        <v>41</v>
      </c>
      <c r="D76" s="31" t="s">
        <v>84</v>
      </c>
      <c r="E76" s="31" t="s">
        <v>42</v>
      </c>
      <c r="F76" s="31" t="s">
        <v>86</v>
      </c>
      <c r="G76" s="31" t="s">
        <v>25</v>
      </c>
      <c r="H76" s="31" t="s">
        <v>25</v>
      </c>
      <c r="I76" s="31" t="s">
        <v>25</v>
      </c>
      <c r="J76" s="31" t="s">
        <v>540</v>
      </c>
      <c r="K76" s="31" t="s">
        <v>541</v>
      </c>
      <c r="L76" s="31" t="s">
        <v>68</v>
      </c>
      <c r="M76" s="31">
        <v>2021</v>
      </c>
      <c r="N76" s="31">
        <v>0</v>
      </c>
      <c r="O76" s="31">
        <v>388.31</v>
      </c>
      <c r="P76" s="31">
        <v>47.576818236527103</v>
      </c>
    </row>
    <row r="77" spans="1:16" ht="11.25" customHeight="1" x14ac:dyDescent="0.3">
      <c r="A77" s="31">
        <v>76</v>
      </c>
      <c r="B77" s="31" t="s">
        <v>395</v>
      </c>
      <c r="C77" s="31" t="s">
        <v>36</v>
      </c>
      <c r="D77" s="31" t="s">
        <v>84</v>
      </c>
      <c r="E77" s="31" t="s">
        <v>25</v>
      </c>
      <c r="F77" s="31" t="s">
        <v>25</v>
      </c>
      <c r="G77" s="31" t="s">
        <v>25</v>
      </c>
      <c r="H77" s="31" t="s">
        <v>25</v>
      </c>
      <c r="I77" s="31" t="s">
        <v>25</v>
      </c>
      <c r="J77" s="31" t="s">
        <v>540</v>
      </c>
      <c r="K77" s="31" t="s">
        <v>541</v>
      </c>
      <c r="L77" s="31" t="s">
        <v>68</v>
      </c>
      <c r="M77" s="31">
        <v>2021</v>
      </c>
      <c r="N77" s="31">
        <v>0</v>
      </c>
      <c r="O77" s="31">
        <v>462.27</v>
      </c>
      <c r="P77" s="31">
        <v>56.639069329199003</v>
      </c>
    </row>
    <row r="78" spans="1:16" ht="11.25" customHeight="1" x14ac:dyDescent="0.3">
      <c r="A78" s="31">
        <v>77</v>
      </c>
      <c r="B78" s="31" t="s">
        <v>423</v>
      </c>
      <c r="C78" s="31" t="s">
        <v>22</v>
      </c>
      <c r="D78" s="31" t="s">
        <v>83</v>
      </c>
      <c r="E78" s="31" t="s">
        <v>24</v>
      </c>
      <c r="F78" s="31" t="s">
        <v>31</v>
      </c>
      <c r="G78" s="31" t="s">
        <v>25</v>
      </c>
      <c r="H78" s="31" t="s">
        <v>25</v>
      </c>
      <c r="I78" s="31" t="s">
        <v>25</v>
      </c>
      <c r="J78" s="31" t="s">
        <v>540</v>
      </c>
      <c r="K78" s="31" t="s">
        <v>541</v>
      </c>
      <c r="L78" s="31" t="s">
        <v>68</v>
      </c>
      <c r="M78" s="31">
        <v>2021</v>
      </c>
      <c r="N78" s="31">
        <v>0</v>
      </c>
      <c r="O78" s="31">
        <v>199.44</v>
      </c>
      <c r="P78" s="31"/>
    </row>
    <row r="79" spans="1:16" ht="11.25" customHeight="1" x14ac:dyDescent="0.3">
      <c r="A79" s="31">
        <v>78</v>
      </c>
      <c r="B79" s="31" t="s">
        <v>423</v>
      </c>
      <c r="C79" s="31" t="s">
        <v>22</v>
      </c>
      <c r="D79" s="31" t="s">
        <v>71</v>
      </c>
      <c r="E79" s="31" t="s">
        <v>24</v>
      </c>
      <c r="F79" s="31" t="s">
        <v>29</v>
      </c>
      <c r="G79" s="31" t="s">
        <v>25</v>
      </c>
      <c r="H79" s="31" t="s">
        <v>25</v>
      </c>
      <c r="I79" s="31" t="s">
        <v>25</v>
      </c>
      <c r="J79" s="31" t="s">
        <v>540</v>
      </c>
      <c r="K79" s="31" t="s">
        <v>541</v>
      </c>
      <c r="L79" s="31" t="s">
        <v>68</v>
      </c>
      <c r="M79" s="31">
        <v>2021</v>
      </c>
      <c r="N79" s="31">
        <v>0</v>
      </c>
      <c r="O79" s="31">
        <v>77.56</v>
      </c>
      <c r="P79" s="31"/>
    </row>
    <row r="80" spans="1:16" ht="11.25" customHeight="1" x14ac:dyDescent="0.3">
      <c r="A80" s="31">
        <v>79</v>
      </c>
      <c r="B80" s="31" t="s">
        <v>423</v>
      </c>
      <c r="C80" s="31" t="s">
        <v>38</v>
      </c>
      <c r="D80" s="31" t="s">
        <v>67</v>
      </c>
      <c r="E80" s="31" t="s">
        <v>25</v>
      </c>
      <c r="F80" s="31" t="s">
        <v>25</v>
      </c>
      <c r="G80" s="31" t="s">
        <v>25</v>
      </c>
      <c r="H80" s="31" t="s">
        <v>25</v>
      </c>
      <c r="I80" s="31" t="s">
        <v>40</v>
      </c>
      <c r="J80" s="31" t="s">
        <v>540</v>
      </c>
      <c r="K80" s="31" t="s">
        <v>541</v>
      </c>
      <c r="L80" s="31" t="s">
        <v>68</v>
      </c>
      <c r="M80" s="31">
        <v>2021</v>
      </c>
      <c r="N80" s="31">
        <v>0</v>
      </c>
      <c r="O80" s="31">
        <v>221.6</v>
      </c>
      <c r="P80" s="31"/>
    </row>
    <row r="81" spans="1:16" ht="11.25" customHeight="1" x14ac:dyDescent="0.3">
      <c r="A81" s="31">
        <v>80</v>
      </c>
      <c r="B81" s="31" t="s">
        <v>423</v>
      </c>
      <c r="C81" s="31" t="s">
        <v>22</v>
      </c>
      <c r="D81" s="31" t="s">
        <v>83</v>
      </c>
      <c r="E81" s="31" t="s">
        <v>24</v>
      </c>
      <c r="F81" s="31" t="s">
        <v>32</v>
      </c>
      <c r="G81" s="31" t="s">
        <v>25</v>
      </c>
      <c r="H81" s="31" t="s">
        <v>25</v>
      </c>
      <c r="I81" s="31" t="s">
        <v>25</v>
      </c>
      <c r="J81" s="31" t="s">
        <v>540</v>
      </c>
      <c r="K81" s="31" t="s">
        <v>541</v>
      </c>
      <c r="L81" s="31" t="s">
        <v>68</v>
      </c>
      <c r="M81" s="31">
        <v>2021</v>
      </c>
      <c r="N81" s="31">
        <v>0</v>
      </c>
      <c r="O81" s="31">
        <v>221.6</v>
      </c>
      <c r="P81" s="31"/>
    </row>
    <row r="82" spans="1:16" ht="11.25" customHeight="1" x14ac:dyDescent="0.3">
      <c r="A82" s="31">
        <v>81</v>
      </c>
      <c r="B82" s="31" t="s">
        <v>423</v>
      </c>
      <c r="C82" s="31" t="s">
        <v>22</v>
      </c>
      <c r="D82" s="31" t="s">
        <v>83</v>
      </c>
      <c r="E82" s="31" t="s">
        <v>24</v>
      </c>
      <c r="F82" s="31" t="s">
        <v>29</v>
      </c>
      <c r="G82" s="31" t="s">
        <v>25</v>
      </c>
      <c r="H82" s="31" t="s">
        <v>25</v>
      </c>
      <c r="I82" s="31" t="s">
        <v>25</v>
      </c>
      <c r="J82" s="31" t="s">
        <v>540</v>
      </c>
      <c r="K82" s="31" t="s">
        <v>541</v>
      </c>
      <c r="L82" s="31" t="s">
        <v>68</v>
      </c>
      <c r="M82" s="31">
        <v>2021</v>
      </c>
      <c r="N82" s="31">
        <v>0</v>
      </c>
      <c r="O82" s="31">
        <v>77.56</v>
      </c>
      <c r="P82" s="31"/>
    </row>
    <row r="83" spans="1:16" ht="11.25" customHeight="1" x14ac:dyDescent="0.3">
      <c r="A83" s="31">
        <v>82</v>
      </c>
      <c r="B83" s="31" t="s">
        <v>423</v>
      </c>
      <c r="C83" s="31" t="s">
        <v>41</v>
      </c>
      <c r="D83" s="31" t="s">
        <v>67</v>
      </c>
      <c r="E83" s="31" t="s">
        <v>42</v>
      </c>
      <c r="F83" s="31" t="s">
        <v>25</v>
      </c>
      <c r="G83" s="31" t="s">
        <v>25</v>
      </c>
      <c r="H83" s="31" t="s">
        <v>25</v>
      </c>
      <c r="I83" s="31" t="s">
        <v>35</v>
      </c>
      <c r="J83" s="31" t="s">
        <v>540</v>
      </c>
      <c r="K83" s="31" t="s">
        <v>541</v>
      </c>
      <c r="L83" s="31" t="s">
        <v>68</v>
      </c>
      <c r="M83" s="31">
        <v>2021</v>
      </c>
      <c r="N83" s="31">
        <v>0</v>
      </c>
      <c r="O83" s="31">
        <v>195</v>
      </c>
      <c r="P83" s="31"/>
    </row>
    <row r="84" spans="1:16" ht="11.25" customHeight="1" x14ac:dyDescent="0.3">
      <c r="A84" s="31">
        <v>83</v>
      </c>
      <c r="B84" s="31" t="s">
        <v>423</v>
      </c>
      <c r="C84" s="31" t="s">
        <v>41</v>
      </c>
      <c r="D84" s="31" t="s">
        <v>67</v>
      </c>
      <c r="E84" s="31" t="s">
        <v>42</v>
      </c>
      <c r="F84" s="31" t="s">
        <v>25</v>
      </c>
      <c r="G84" s="31" t="s">
        <v>25</v>
      </c>
      <c r="H84" s="31" t="s">
        <v>25</v>
      </c>
      <c r="I84" s="31" t="s">
        <v>40</v>
      </c>
      <c r="J84" s="31" t="s">
        <v>540</v>
      </c>
      <c r="K84" s="31" t="s">
        <v>541</v>
      </c>
      <c r="L84" s="31" t="s">
        <v>68</v>
      </c>
      <c r="M84" s="31">
        <v>2021</v>
      </c>
      <c r="N84" s="31">
        <v>0</v>
      </c>
      <c r="O84" s="31">
        <v>195</v>
      </c>
      <c r="P84" s="31"/>
    </row>
    <row r="85" spans="1:16" ht="11.25" customHeight="1" x14ac:dyDescent="0.3">
      <c r="A85" s="31">
        <v>84</v>
      </c>
      <c r="B85" s="31" t="s">
        <v>423</v>
      </c>
      <c r="C85" s="31" t="s">
        <v>22</v>
      </c>
      <c r="D85" s="31" t="s">
        <v>71</v>
      </c>
      <c r="E85" s="31" t="s">
        <v>24</v>
      </c>
      <c r="F85" s="31" t="s">
        <v>30</v>
      </c>
      <c r="G85" s="31" t="s">
        <v>25</v>
      </c>
      <c r="H85" s="31" t="s">
        <v>25</v>
      </c>
      <c r="I85" s="31" t="s">
        <v>25</v>
      </c>
      <c r="J85" s="31" t="s">
        <v>540</v>
      </c>
      <c r="K85" s="31" t="s">
        <v>541</v>
      </c>
      <c r="L85" s="31" t="s">
        <v>68</v>
      </c>
      <c r="M85" s="31">
        <v>2021</v>
      </c>
      <c r="N85" s="31">
        <v>0</v>
      </c>
      <c r="O85" s="31">
        <v>132.96</v>
      </c>
      <c r="P85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DA68-5E30-4B73-A3ED-496A7040C01C}">
  <dimension ref="A1:AD49"/>
  <sheetViews>
    <sheetView showGridLines="0" workbookViewId="0">
      <selection sqref="A1:W49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20" width="6.77734375" style="9" bestFit="1" customWidth="1"/>
    <col min="21" max="21" width="13.6640625" style="9" bestFit="1" customWidth="1"/>
    <col min="22" max="16384" width="8.88671875" style="9"/>
  </cols>
  <sheetData>
    <row r="1" spans="1:30" ht="11.25" customHeight="1" x14ac:dyDescent="0.3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81" t="s">
        <v>38</v>
      </c>
      <c r="B2" s="81" t="s">
        <v>73</v>
      </c>
      <c r="C2" s="81" t="s">
        <v>25</v>
      </c>
      <c r="D2" s="81" t="s">
        <v>25</v>
      </c>
      <c r="E2" s="81" t="s">
        <v>25</v>
      </c>
      <c r="F2" s="81" t="s">
        <v>25</v>
      </c>
      <c r="G2" s="13" t="s">
        <v>75</v>
      </c>
      <c r="H2" s="13" t="s">
        <v>74</v>
      </c>
      <c r="I2" s="13">
        <f>SUMIF(Mercado_Receita!$S$2:$S$300,"44440A4AzulNão se aplicaNão se aplicaNão se aplicaNão se aplicaPonta",Mercado_Receita!$J$2:$J$300)+SUMIF(Mercado_Receita!$S$2:$S$300,"44440A4AzulNão se aplicaNão se aplicaAPENão se aplicaPonta",Mercado_Receita!$J$2:$J$300)</f>
        <v>0</v>
      </c>
      <c r="J2" s="13">
        <f>SUMIF(Mercado_Receita!$S$2:$S$300,"44470A4AzulNão se aplicaNão se aplicaNão se aplicaNão se aplicaPonta",Mercado_Receita!$J$2:$J$300)+SUMIF(Mercado_Receita!$S$2:$S$300,"44470A4AzulNão se aplicaNão se aplicaAPENão se aplicaPonta",Mercado_Receita!$J$2:$J$300)</f>
        <v>0</v>
      </c>
      <c r="K2" s="13">
        <f>SUMIF(Mercado_Receita!$S$2:$S$300,"44501A4AzulNão se aplicaNão se aplicaNão se aplicaNão se aplicaPonta",Mercado_Receita!$J$2:$J$300)+SUMIF(Mercado_Receita!$S$2:$S$300,"44501A4AzulNão se aplicaNão se aplicaAPENão se aplicaPonta",Mercado_Receita!$J$2:$J$300)</f>
        <v>0</v>
      </c>
      <c r="L2" s="13">
        <f>SUMIF(Mercado_Receita!$S$2:$S$300,"44531A4AzulNão se aplicaNão se aplicaNão se aplicaNão se aplicaPonta",Mercado_Receita!$J$2:$J$300)+SUMIF(Mercado_Receita!$S$2:$S$300,"44531A4AzulNão se aplicaNão se aplicaAPENão se aplicaPonta",Mercado_Receita!$J$2:$J$300)</f>
        <v>0</v>
      </c>
      <c r="M2" s="13">
        <f>SUMIF(Mercado_Receita!$S$2:$S$300,"44562A4AzulNão se aplicaNão se aplicaNão se aplicaNão se aplicaPonta",Mercado_Receita!$J$2:$J$300)+SUMIF(Mercado_Receita!$S$2:$S$300,"44562A4AzulNão se aplicaNão se aplicaAPENão se aplicaPonta",Mercado_Receita!$J$2:$J$300)</f>
        <v>0</v>
      </c>
      <c r="N2" s="13">
        <f>SUMIF(Mercado_Receita!$S$2:$S$300,"44593A4AzulNão se aplicaNão se aplicaNão se aplicaNão se aplicaPonta",Mercado_Receita!$J$2:$J$300)+SUMIF(Mercado_Receita!$S$2:$S$300,"44593A4AzulNão se aplicaNão se aplicaAPENão se aplicaPonta",Mercado_Receita!$J$2:$J$300)</f>
        <v>0</v>
      </c>
      <c r="O2" s="13">
        <f>SUMIF(Mercado_Receita!$S$2:$S$300,"44621A4AzulNão se aplicaNão se aplicaNão se aplicaNão se aplicaPonta",Mercado_Receita!$J$2:$J$300)+SUMIF(Mercado_Receita!$S$2:$S$300,"44621A4AzulNão se aplicaNão se aplicaAPENão se aplicaPonta",Mercado_Receita!$J$2:$J$300)</f>
        <v>0</v>
      </c>
      <c r="P2" s="13">
        <f>SUMIF(Mercado_Receita!$S$2:$S$300,"44652A4AzulNão se aplicaNão se aplicaNão se aplicaNão se aplicaPonta",Mercado_Receita!$J$2:$J$300)+SUMIF(Mercado_Receita!$S$2:$S$300,"44652A4AzulNão se aplicaNão se aplicaAPENão se aplicaPonta",Mercado_Receita!$J$2:$J$300)</f>
        <v>0</v>
      </c>
      <c r="Q2" s="13">
        <f>SUMIF(Mercado_Receita!$S$2:$S$300,"44682A4AzulNão se aplicaNão se aplicaNão se aplicaNão se aplicaPonta",Mercado_Receita!$J$2:$J$300)+SUMIF(Mercado_Receita!$S$2:$S$300,"44682A4AzulNão se aplicaNão se aplicaAPENão se aplicaPonta",Mercado_Receita!$J$2:$J$300)</f>
        <v>0</v>
      </c>
      <c r="R2" s="13">
        <f>SUMIF(Mercado_Receita!$S$2:$S$300,"44713A4AzulNão se aplicaNão se aplicaNão se aplicaNão se aplicaPonta",Mercado_Receita!$J$2:$J$300)+SUMIF(Mercado_Receita!$S$2:$S$300,"44713A4AzulNão se aplicaNão se aplicaAPENão se aplicaPonta",Mercado_Receita!$J$2:$J$300)</f>
        <v>0</v>
      </c>
      <c r="S2" s="13">
        <f>SUMIF(Mercado_Receita!$S$2:$S$300,"44743A4AzulNão se aplicaNão se aplicaNão se aplicaNão se aplicaPonta",Mercado_Receita!$J$2:$J$300)+SUMIF(Mercado_Receita!$S$2:$S$300,"44743A4AzulNão se aplicaNão se aplicaAPENão se aplicaPonta",Mercado_Receita!$J$2:$J$300)</f>
        <v>0</v>
      </c>
      <c r="T2" s="13">
        <f>SUMIF(Mercado_Receita!$S$2:$S$300,"44774A4AzulNão se aplicaNão se aplicaNão se aplicaNão se aplicaPonta",Mercado_Receita!$J$2:$J$300)+SUMIF(Mercado_Receita!$S$2:$S$300,"44774A4AzulNão se aplicaNão se aplicaAPENão se aplicaPonta",Mercado_Receita!$J$2:$J$300)</f>
        <v>0</v>
      </c>
      <c r="U2" s="13">
        <f t="shared" ref="U2:U48" si="0">SUM(I2:T2)</f>
        <v>0</v>
      </c>
      <c r="V2" s="13"/>
      <c r="W2" s="13"/>
    </row>
    <row r="3" spans="1:30" ht="11.25" customHeight="1" x14ac:dyDescent="0.3">
      <c r="A3" s="82"/>
      <c r="B3" s="82"/>
      <c r="C3" s="82"/>
      <c r="D3" s="82"/>
      <c r="E3" s="82"/>
      <c r="F3" s="82"/>
      <c r="G3" s="13" t="s">
        <v>76</v>
      </c>
      <c r="H3" s="13" t="s">
        <v>74</v>
      </c>
      <c r="I3" s="13">
        <f>SUMIF(Mercado_Receita!$S$2:$S$300,"44440A4AzulNão se aplicaNão se aplicaNão se aplicaNão se aplicaFora ponta",Mercado_Receita!$J$2:$J$300)+SUMIF(Mercado_Receita!$S$2:$S$300,"44440A4AzulNão se aplicaNão se aplicaAPENão se aplicaFora ponta",Mercado_Receita!$J$2:$J$300)</f>
        <v>0</v>
      </c>
      <c r="J3" s="13">
        <f>SUMIF(Mercado_Receita!$S$2:$S$300,"44470A4AzulNão se aplicaNão se aplicaNão se aplicaNão se aplicaFora ponta",Mercado_Receita!$J$2:$J$300)+SUMIF(Mercado_Receita!$S$2:$S$300,"44470A4AzulNão se aplicaNão se aplicaAPENão se aplicaFora ponta",Mercado_Receita!$J$2:$J$300)</f>
        <v>0</v>
      </c>
      <c r="K3" s="13">
        <f>SUMIF(Mercado_Receita!$S$2:$S$300,"44501A4AzulNão se aplicaNão se aplicaNão se aplicaNão se aplicaFora ponta",Mercado_Receita!$J$2:$J$300)+SUMIF(Mercado_Receita!$S$2:$S$300,"44501A4AzulNão se aplicaNão se aplicaAPENão se aplicaFora ponta",Mercado_Receita!$J$2:$J$300)</f>
        <v>0</v>
      </c>
      <c r="L3" s="13">
        <f>SUMIF(Mercado_Receita!$S$2:$S$300,"44531A4AzulNão se aplicaNão se aplicaNão se aplicaNão se aplicaFora ponta",Mercado_Receita!$J$2:$J$300)+SUMIF(Mercado_Receita!$S$2:$S$300,"44531A4AzulNão se aplicaNão se aplicaAPENão se aplicaFora ponta",Mercado_Receita!$J$2:$J$300)</f>
        <v>0</v>
      </c>
      <c r="M3" s="13">
        <f>SUMIF(Mercado_Receita!$S$2:$S$300,"44562A4AzulNão se aplicaNão se aplicaNão se aplicaNão se aplicaFora ponta",Mercado_Receita!$J$2:$J$300)+SUMIF(Mercado_Receita!$S$2:$S$300,"44562A4AzulNão se aplicaNão se aplicaAPENão se aplicaFora ponta",Mercado_Receita!$J$2:$J$300)</f>
        <v>0</v>
      </c>
      <c r="N3" s="13">
        <f>SUMIF(Mercado_Receita!$S$2:$S$300,"44593A4AzulNão se aplicaNão se aplicaNão se aplicaNão se aplicaFora ponta",Mercado_Receita!$J$2:$J$300)+SUMIF(Mercado_Receita!$S$2:$S$300,"44593A4AzulNão se aplicaNão se aplicaAPENão se aplicaFora ponta",Mercado_Receita!$J$2:$J$300)</f>
        <v>0</v>
      </c>
      <c r="O3" s="13">
        <f>SUMIF(Mercado_Receita!$S$2:$S$300,"44621A4AzulNão se aplicaNão se aplicaNão se aplicaNão se aplicaFora ponta",Mercado_Receita!$J$2:$J$300)+SUMIF(Mercado_Receita!$S$2:$S$300,"44621A4AzulNão se aplicaNão se aplicaAPENão se aplicaFora ponta",Mercado_Receita!$J$2:$J$300)</f>
        <v>0</v>
      </c>
      <c r="P3" s="13">
        <f>SUMIF(Mercado_Receita!$S$2:$S$300,"44652A4AzulNão se aplicaNão se aplicaNão se aplicaNão se aplicaFora ponta",Mercado_Receita!$J$2:$J$300)+SUMIF(Mercado_Receita!$S$2:$S$300,"44652A4AzulNão se aplicaNão se aplicaAPENão se aplicaFora ponta",Mercado_Receita!$J$2:$J$300)</f>
        <v>0</v>
      </c>
      <c r="Q3" s="13">
        <f>SUMIF(Mercado_Receita!$S$2:$S$300,"44682A4AzulNão se aplicaNão se aplicaNão se aplicaNão se aplicaFora ponta",Mercado_Receita!$J$2:$J$300)+SUMIF(Mercado_Receita!$S$2:$S$300,"44682A4AzulNão se aplicaNão se aplicaAPENão se aplicaFora ponta",Mercado_Receita!$J$2:$J$300)</f>
        <v>0</v>
      </c>
      <c r="R3" s="13">
        <f>SUMIF(Mercado_Receita!$S$2:$S$300,"44713A4AzulNão se aplicaNão se aplicaNão se aplicaNão se aplicaFora ponta",Mercado_Receita!$J$2:$J$300)+SUMIF(Mercado_Receita!$S$2:$S$300,"44713A4AzulNão se aplicaNão se aplicaAPENão se aplicaFora ponta",Mercado_Receita!$J$2:$J$300)</f>
        <v>0</v>
      </c>
      <c r="S3" s="13">
        <f>SUMIF(Mercado_Receita!$S$2:$S$300,"44743A4AzulNão se aplicaNão se aplicaNão se aplicaNão se aplicaFora ponta",Mercado_Receita!$J$2:$J$300)+SUMIF(Mercado_Receita!$S$2:$S$300,"44743A4AzulNão se aplicaNão se aplicaAPENão se aplicaFora ponta",Mercado_Receita!$J$2:$J$300)</f>
        <v>0</v>
      </c>
      <c r="T3" s="13">
        <f>SUMIF(Mercado_Receita!$S$2:$S$300,"44774A4AzulNão se aplicaNão se aplicaNão se aplicaNão se aplicaFora ponta",Mercado_Receita!$J$2:$J$300)+SUMIF(Mercado_Receita!$S$2:$S$300,"44774A4AzulNão se aplicaNão se aplicaAPENão se aplicaFora ponta",Mercado_Receita!$J$2:$J$300)</f>
        <v>0</v>
      </c>
      <c r="U3" s="13">
        <f t="shared" si="0"/>
        <v>0</v>
      </c>
      <c r="V3" s="13"/>
      <c r="W3" s="13"/>
    </row>
    <row r="4" spans="1:30" ht="11.25" customHeight="1" x14ac:dyDescent="0.3">
      <c r="A4" s="82"/>
      <c r="B4" s="82"/>
      <c r="C4" s="82"/>
      <c r="D4" s="82"/>
      <c r="E4" s="82"/>
      <c r="F4" s="82"/>
      <c r="G4" s="13" t="s">
        <v>72</v>
      </c>
      <c r="H4" s="13" t="s">
        <v>68</v>
      </c>
      <c r="I4" s="13">
        <f>SUMIF(Mercado_Receita!$S$2:$S$300,"44440A4AzulNão se aplicaNão se aplicaNão se aplicaNão se aplicaPonta",Mercado_Receita!$L$2:$L$300)+SUMIF(Mercado_Receita!$S$2:$S$300,"44440A4AzulNão se aplicaNão se aplicaNão se aplicaNão se aplicaFora ponta",Mercado_Receita!$L$2:$L$300)+SUMIF(Mercado_Receita!$S$2:$S$300,"44440A4AzulNão se aplicaNão se aplicaNão se aplicaNão se aplicaIntermediário",Mercado_Receita!$L$2:$L$300)+SUMIF(Mercado_Receita!$S$2:$S$300,"44440A4AzulNão se aplicaNão se aplicaNão se aplicaNão se aplicaNão se aplica",Mercado_Receita!$L$2:$L$300)</f>
        <v>0</v>
      </c>
      <c r="J4" s="13">
        <f>SUMIF(Mercado_Receita!$S$2:$S$300,"44470A4AzulNão se aplicaNão se aplicaNão se aplicaNão se aplicaPonta",Mercado_Receita!$L$2:$L$300)+SUMIF(Mercado_Receita!$S$2:$S$300,"44470A4AzulNão se aplicaNão se aplicaNão se aplicaNão se aplicaFora ponta",Mercado_Receita!$L$2:$L$300)+SUMIF(Mercado_Receita!$S$2:$S$300,"44470A4AzulNão se aplicaNão se aplicaNão se aplicaNão se aplicaIntermediário",Mercado_Receita!$L$2:$L$300)+SUMIF(Mercado_Receita!$S$2:$S$300,"44470A4AzulNão se aplicaNão se aplicaNão se aplicaNão se aplicaNão se aplica",Mercado_Receita!$L$2:$L$300)</f>
        <v>0</v>
      </c>
      <c r="K4" s="13">
        <f>SUMIF(Mercado_Receita!$S$2:$S$300,"44501A4AzulNão se aplicaNão se aplicaNão se aplicaNão se aplicaPonta",Mercado_Receita!$L$2:$L$300)+SUMIF(Mercado_Receita!$S$2:$S$300,"44501A4AzulNão se aplicaNão se aplicaNão se aplicaNão se aplicaFora ponta",Mercado_Receita!$L$2:$L$300)+SUMIF(Mercado_Receita!$S$2:$S$300,"44501A4AzulNão se aplicaNão se aplicaNão se aplicaNão se aplicaIntermediário",Mercado_Receita!$L$2:$L$300)+SUMIF(Mercado_Receita!$S$2:$S$300,"44501A4AzulNão se aplicaNão se aplicaNão se aplicaNão se aplicaNão se aplica",Mercado_Receita!$L$2:$L$300)</f>
        <v>0</v>
      </c>
      <c r="L4" s="13">
        <f>SUMIF(Mercado_Receita!$S$2:$S$300,"44531A4AzulNão se aplicaNão se aplicaNão se aplicaNão se aplicaPonta",Mercado_Receita!$L$2:$L$300)+SUMIF(Mercado_Receita!$S$2:$S$300,"44531A4AzulNão se aplicaNão se aplicaNão se aplicaNão se aplicaFora ponta",Mercado_Receita!$L$2:$L$300)+SUMIF(Mercado_Receita!$S$2:$S$300,"44531A4AzulNão se aplicaNão se aplicaNão se aplicaNão se aplicaIntermediário",Mercado_Receita!$L$2:$L$300)+SUMIF(Mercado_Receita!$S$2:$S$300,"44531A4AzulNão se aplicaNão se aplicaNão se aplicaNão se aplicaNão se aplica",Mercado_Receita!$L$2:$L$300)</f>
        <v>0</v>
      </c>
      <c r="M4" s="13">
        <f>SUMIF(Mercado_Receita!$S$2:$S$300,"44562A4AzulNão se aplicaNão se aplicaNão se aplicaNão se aplicaPonta",Mercado_Receita!$L$2:$L$300)+SUMIF(Mercado_Receita!$S$2:$S$300,"44562A4AzulNão se aplicaNão se aplicaNão se aplicaNão se aplicaFora ponta",Mercado_Receita!$L$2:$L$300)+SUMIF(Mercado_Receita!$S$2:$S$300,"44562A4AzulNão se aplicaNão se aplicaNão se aplicaNão se aplicaIntermediário",Mercado_Receita!$L$2:$L$300)+SUMIF(Mercado_Receita!$S$2:$S$300,"44562A4AzulNão se aplicaNão se aplicaNão se aplicaNão se aplicaNão se aplica",Mercado_Receita!$L$2:$L$300)</f>
        <v>0</v>
      </c>
      <c r="N4" s="13">
        <f>SUMIF(Mercado_Receita!$S$2:$S$300,"44593A4AzulNão se aplicaNão se aplicaNão se aplicaNão se aplicaPonta",Mercado_Receita!$L$2:$L$300)+SUMIF(Mercado_Receita!$S$2:$S$300,"44593A4AzulNão se aplicaNão se aplicaNão se aplicaNão se aplicaFora ponta",Mercado_Receita!$L$2:$L$300)+SUMIF(Mercado_Receita!$S$2:$S$300,"44593A4AzulNão se aplicaNão se aplicaNão se aplicaNão se aplicaIntermediário",Mercado_Receita!$L$2:$L$300)+SUMIF(Mercado_Receita!$S$2:$S$300,"44593A4AzulNão se aplicaNão se aplicaNão se aplicaNão se aplicaNão se aplica",Mercado_Receita!$L$2:$L$300)</f>
        <v>0</v>
      </c>
      <c r="O4" s="13">
        <f>SUMIF(Mercado_Receita!$S$2:$S$300,"44621A4AzulNão se aplicaNão se aplicaNão se aplicaNão se aplicaPonta",Mercado_Receita!$L$2:$L$300)+SUMIF(Mercado_Receita!$S$2:$S$300,"44621A4AzulNão se aplicaNão se aplicaNão se aplicaNão se aplicaFora ponta",Mercado_Receita!$L$2:$L$300)+SUMIF(Mercado_Receita!$S$2:$S$300,"44621A4AzulNão se aplicaNão se aplicaNão se aplicaNão se aplicaIntermediário",Mercado_Receita!$L$2:$L$300)+SUMIF(Mercado_Receita!$S$2:$S$300,"44621A4AzulNão se aplicaNão se aplicaNão se aplicaNão se aplicaNão se aplica",Mercado_Receita!$L$2:$L$300)</f>
        <v>0</v>
      </c>
      <c r="P4" s="13">
        <f>SUMIF(Mercado_Receita!$S$2:$S$300,"44652A4AzulNão se aplicaNão se aplicaNão se aplicaNão se aplicaPonta",Mercado_Receita!$L$2:$L$300)+SUMIF(Mercado_Receita!$S$2:$S$300,"44652A4AzulNão se aplicaNão se aplicaNão se aplicaNão se aplicaFora ponta",Mercado_Receita!$L$2:$L$300)+SUMIF(Mercado_Receita!$S$2:$S$300,"44652A4AzulNão se aplicaNão se aplicaNão se aplicaNão se aplicaIntermediário",Mercado_Receita!$L$2:$L$300)+SUMIF(Mercado_Receita!$S$2:$S$300,"44652A4AzulNão se aplicaNão se aplicaNão se aplicaNão se aplicaNão se aplica",Mercado_Receita!$L$2:$L$300)</f>
        <v>0</v>
      </c>
      <c r="Q4" s="13">
        <f>SUMIF(Mercado_Receita!$S$2:$S$300,"44682A4AzulNão se aplicaNão se aplicaNão se aplicaNão se aplicaPonta",Mercado_Receita!$L$2:$L$300)+SUMIF(Mercado_Receita!$S$2:$S$300,"44682A4AzulNão se aplicaNão se aplicaNão se aplicaNão se aplicaFora ponta",Mercado_Receita!$L$2:$L$300)+SUMIF(Mercado_Receita!$S$2:$S$300,"44682A4AzulNão se aplicaNão se aplicaNão se aplicaNão se aplicaIntermediário",Mercado_Receita!$L$2:$L$300)+SUMIF(Mercado_Receita!$S$2:$S$300,"44682A4AzulNão se aplicaNão se aplicaNão se aplicaNão se aplicaNão se aplica",Mercado_Receita!$L$2:$L$300)</f>
        <v>0</v>
      </c>
      <c r="R4" s="13">
        <f>SUMIF(Mercado_Receita!$S$2:$S$300,"44713A4AzulNão se aplicaNão se aplicaNão se aplicaNão se aplicaPonta",Mercado_Receita!$L$2:$L$300)+SUMIF(Mercado_Receita!$S$2:$S$300,"44713A4AzulNão se aplicaNão se aplicaNão se aplicaNão se aplicaFora ponta",Mercado_Receita!$L$2:$L$300)+SUMIF(Mercado_Receita!$S$2:$S$300,"44713A4AzulNão se aplicaNão se aplicaNão se aplicaNão se aplicaIntermediário",Mercado_Receita!$L$2:$L$300)+SUMIF(Mercado_Receita!$S$2:$S$300,"44713A4AzulNão se aplicaNão se aplicaNão se aplicaNão se aplicaNão se aplica",Mercado_Receita!$L$2:$L$300)</f>
        <v>0</v>
      </c>
      <c r="S4" s="13">
        <f>SUMIF(Mercado_Receita!$S$2:$S$300,"44743A4AzulNão se aplicaNão se aplicaNão se aplicaNão se aplicaPonta",Mercado_Receita!$L$2:$L$300)+SUMIF(Mercado_Receita!$S$2:$S$300,"44743A4AzulNão se aplicaNão se aplicaNão se aplicaNão se aplicaFora ponta",Mercado_Receita!$L$2:$L$300)+SUMIF(Mercado_Receita!$S$2:$S$300,"44743A4AzulNão se aplicaNão se aplicaNão se aplicaNão se aplicaIntermediário",Mercado_Receita!$L$2:$L$300)+SUMIF(Mercado_Receita!$S$2:$S$300,"44743A4AzulNão se aplicaNão se aplicaNão se aplicaNão se aplicaNão se aplica",Mercado_Receita!$L$2:$L$300)</f>
        <v>0</v>
      </c>
      <c r="T4" s="13">
        <f>SUMIF(Mercado_Receita!$S$2:$S$300,"44774A4AzulNão se aplicaNão se aplicaNão se aplicaNão se aplicaPonta",Mercado_Receita!$L$2:$L$300)+SUMIF(Mercado_Receita!$S$2:$S$300,"44774A4AzulNão se aplicaNão se aplicaNão se aplicaNão se aplicaFora ponta",Mercado_Receita!$L$2:$L$300)+SUMIF(Mercado_Receita!$S$2:$S$300,"44774A4AzulNão se aplicaNão se aplicaNão se aplicaNão se aplicaIntermediário",Mercado_Receita!$L$2:$L$300)+SUMIF(Mercado_Receita!$S$2:$S$300,"44774A4AzulNão se aplicaNão se aplicaNão se aplicaNão se aplicaNão se aplica",Mercado_Receita!$L$2:$L$300)</f>
        <v>0</v>
      </c>
      <c r="U4" s="13">
        <f t="shared" si="0"/>
        <v>0</v>
      </c>
      <c r="V4" s="13"/>
      <c r="W4" s="13"/>
    </row>
    <row r="5" spans="1:30" ht="11.25" customHeight="1" x14ac:dyDescent="0.3">
      <c r="A5" s="82"/>
      <c r="B5" s="82"/>
      <c r="C5" s="82"/>
      <c r="D5" s="82"/>
      <c r="E5" s="12" t="s">
        <v>77</v>
      </c>
      <c r="F5" s="12" t="s">
        <v>25</v>
      </c>
      <c r="G5" s="13" t="s">
        <v>72</v>
      </c>
      <c r="H5" s="13" t="s">
        <v>68</v>
      </c>
      <c r="I5" s="13">
        <f>SUMIF(Mercado_Receita!$S$2:$S$300,"44440A4AzulNão se aplicaNão se aplicaAPENão se aplicaPonta",Mercado_Receita!$L$2:$L$300)+SUMIF(Mercado_Receita!$S$2:$S$300,"44440A4AzulNão se aplicaNão se aplicaAPENão se aplicaFora ponta",Mercado_Receita!$L$2:$L$300)+SUMIF(Mercado_Receita!$S$2:$S$300,"44440A4AzulNão se aplicaNão se aplicaAPENão se aplicaIntermediário",Mercado_Receita!$L$2:$L$300)+SUMIF(Mercado_Receita!$S$2:$S$300,"44440A4AzulNão se aplicaNão se aplicaAPENão se aplicaNão se aplica",Mercado_Receita!$L$2:$L$300)</f>
        <v>0</v>
      </c>
      <c r="J5" s="13">
        <f>SUMIF(Mercado_Receita!$S$2:$S$300,"44470A4AzulNão se aplicaNão se aplicaAPENão se aplicaPonta",Mercado_Receita!$L$2:$L$300)+SUMIF(Mercado_Receita!$S$2:$S$300,"44470A4AzulNão se aplicaNão se aplicaAPENão se aplicaFora ponta",Mercado_Receita!$L$2:$L$300)+SUMIF(Mercado_Receita!$S$2:$S$300,"44470A4AzulNão se aplicaNão se aplicaAPENão se aplicaIntermediário",Mercado_Receita!$L$2:$L$300)+SUMIF(Mercado_Receita!$S$2:$S$300,"44470A4AzulNão se aplicaNão se aplicaAPENão se aplicaNão se aplica",Mercado_Receita!$L$2:$L$300)</f>
        <v>0</v>
      </c>
      <c r="K5" s="13">
        <f>SUMIF(Mercado_Receita!$S$2:$S$300,"44501A4AzulNão se aplicaNão se aplicaAPENão se aplicaPonta",Mercado_Receita!$L$2:$L$300)+SUMIF(Mercado_Receita!$S$2:$S$300,"44501A4AzulNão se aplicaNão se aplicaAPENão se aplicaFora ponta",Mercado_Receita!$L$2:$L$300)+SUMIF(Mercado_Receita!$S$2:$S$300,"44501A4AzulNão se aplicaNão se aplicaAPENão se aplicaIntermediário",Mercado_Receita!$L$2:$L$300)+SUMIF(Mercado_Receita!$S$2:$S$300,"44501A4AzulNão se aplicaNão se aplicaAPENão se aplicaNão se aplica",Mercado_Receita!$L$2:$L$300)</f>
        <v>0</v>
      </c>
      <c r="L5" s="13">
        <f>SUMIF(Mercado_Receita!$S$2:$S$300,"44531A4AzulNão se aplicaNão se aplicaAPENão se aplicaPonta",Mercado_Receita!$L$2:$L$300)+SUMIF(Mercado_Receita!$S$2:$S$300,"44531A4AzulNão se aplicaNão se aplicaAPENão se aplicaFora ponta",Mercado_Receita!$L$2:$L$300)+SUMIF(Mercado_Receita!$S$2:$S$300,"44531A4AzulNão se aplicaNão se aplicaAPENão se aplicaIntermediário",Mercado_Receita!$L$2:$L$300)+SUMIF(Mercado_Receita!$S$2:$S$300,"44531A4AzulNão se aplicaNão se aplicaAPENão se aplicaNão se aplica",Mercado_Receita!$L$2:$L$300)</f>
        <v>0</v>
      </c>
      <c r="M5" s="13">
        <f>SUMIF(Mercado_Receita!$S$2:$S$300,"44562A4AzulNão se aplicaNão se aplicaAPENão se aplicaPonta",Mercado_Receita!$L$2:$L$300)+SUMIF(Mercado_Receita!$S$2:$S$300,"44562A4AzulNão se aplicaNão se aplicaAPENão se aplicaFora ponta",Mercado_Receita!$L$2:$L$300)+SUMIF(Mercado_Receita!$S$2:$S$300,"44562A4AzulNão se aplicaNão se aplicaAPENão se aplicaIntermediário",Mercado_Receita!$L$2:$L$300)+SUMIF(Mercado_Receita!$S$2:$S$300,"44562A4AzulNão se aplicaNão se aplicaAPENão se aplicaNão se aplica",Mercado_Receita!$L$2:$L$300)</f>
        <v>0</v>
      </c>
      <c r="N5" s="13">
        <f>SUMIF(Mercado_Receita!$S$2:$S$300,"44593A4AzulNão se aplicaNão se aplicaAPENão se aplicaPonta",Mercado_Receita!$L$2:$L$300)+SUMIF(Mercado_Receita!$S$2:$S$300,"44593A4AzulNão se aplicaNão se aplicaAPENão se aplicaFora ponta",Mercado_Receita!$L$2:$L$300)+SUMIF(Mercado_Receita!$S$2:$S$300,"44593A4AzulNão se aplicaNão se aplicaAPENão se aplicaIntermediário",Mercado_Receita!$L$2:$L$300)+SUMIF(Mercado_Receita!$S$2:$S$300,"44593A4AzulNão se aplicaNão se aplicaAPENão se aplicaNão se aplica",Mercado_Receita!$L$2:$L$300)</f>
        <v>0</v>
      </c>
      <c r="O5" s="13">
        <f>SUMIF(Mercado_Receita!$S$2:$S$300,"44621A4AzulNão se aplicaNão se aplicaAPENão se aplicaPonta",Mercado_Receita!$L$2:$L$300)+SUMIF(Mercado_Receita!$S$2:$S$300,"44621A4AzulNão se aplicaNão se aplicaAPENão se aplicaFora ponta",Mercado_Receita!$L$2:$L$300)+SUMIF(Mercado_Receita!$S$2:$S$300,"44621A4AzulNão se aplicaNão se aplicaAPENão se aplicaIntermediário",Mercado_Receita!$L$2:$L$300)+SUMIF(Mercado_Receita!$S$2:$S$300,"44621A4AzulNão se aplicaNão se aplicaAPENão se aplicaNão se aplica",Mercado_Receita!$L$2:$L$300)</f>
        <v>0</v>
      </c>
      <c r="P5" s="13">
        <f>SUMIF(Mercado_Receita!$S$2:$S$300,"44652A4AzulNão se aplicaNão se aplicaAPENão se aplicaPonta",Mercado_Receita!$L$2:$L$300)+SUMIF(Mercado_Receita!$S$2:$S$300,"44652A4AzulNão se aplicaNão se aplicaAPENão se aplicaFora ponta",Mercado_Receita!$L$2:$L$300)+SUMIF(Mercado_Receita!$S$2:$S$300,"44652A4AzulNão se aplicaNão se aplicaAPENão se aplicaIntermediário",Mercado_Receita!$L$2:$L$300)+SUMIF(Mercado_Receita!$S$2:$S$300,"44652A4AzulNão se aplicaNão se aplicaAPENão se aplicaNão se aplica",Mercado_Receita!$L$2:$L$300)</f>
        <v>0</v>
      </c>
      <c r="Q5" s="13">
        <f>SUMIF(Mercado_Receita!$S$2:$S$300,"44682A4AzulNão se aplicaNão se aplicaAPENão se aplicaPonta",Mercado_Receita!$L$2:$L$300)+SUMIF(Mercado_Receita!$S$2:$S$300,"44682A4AzulNão se aplicaNão se aplicaAPENão se aplicaFora ponta",Mercado_Receita!$L$2:$L$300)+SUMIF(Mercado_Receita!$S$2:$S$300,"44682A4AzulNão se aplicaNão se aplicaAPENão se aplicaIntermediário",Mercado_Receita!$L$2:$L$300)+SUMIF(Mercado_Receita!$S$2:$S$300,"44682A4AzulNão se aplicaNão se aplicaAPENão se aplicaNão se aplica",Mercado_Receita!$L$2:$L$300)</f>
        <v>0</v>
      </c>
      <c r="R5" s="13">
        <f>SUMIF(Mercado_Receita!$S$2:$S$300,"44713A4AzulNão se aplicaNão se aplicaAPENão se aplicaPonta",Mercado_Receita!$L$2:$L$300)+SUMIF(Mercado_Receita!$S$2:$S$300,"44713A4AzulNão se aplicaNão se aplicaAPENão se aplicaFora ponta",Mercado_Receita!$L$2:$L$300)+SUMIF(Mercado_Receita!$S$2:$S$300,"44713A4AzulNão se aplicaNão se aplicaAPENão se aplicaIntermediário",Mercado_Receita!$L$2:$L$300)+SUMIF(Mercado_Receita!$S$2:$S$300,"44713A4AzulNão se aplicaNão se aplicaAPENão se aplicaNão se aplica",Mercado_Receita!$L$2:$L$300)</f>
        <v>0</v>
      </c>
      <c r="S5" s="13">
        <f>SUMIF(Mercado_Receita!$S$2:$S$300,"44743A4AzulNão se aplicaNão se aplicaAPENão se aplicaPonta",Mercado_Receita!$L$2:$L$300)+SUMIF(Mercado_Receita!$S$2:$S$300,"44743A4AzulNão se aplicaNão se aplicaAPENão se aplicaFora ponta",Mercado_Receita!$L$2:$L$300)+SUMIF(Mercado_Receita!$S$2:$S$300,"44743A4AzulNão se aplicaNão se aplicaAPENão se aplicaIntermediário",Mercado_Receita!$L$2:$L$300)+SUMIF(Mercado_Receita!$S$2:$S$300,"44743A4AzulNão se aplicaNão se aplicaAPENão se aplicaNão se aplica",Mercado_Receita!$L$2:$L$300)</f>
        <v>0</v>
      </c>
      <c r="T5" s="13">
        <f>SUMIF(Mercado_Receita!$S$2:$S$300,"44774A4AzulNão se aplicaNão se aplicaAPENão se aplicaPonta",Mercado_Receita!$L$2:$L$300)+SUMIF(Mercado_Receita!$S$2:$S$300,"44774A4AzulNão se aplicaNão se aplicaAPENão se aplicaFora ponta",Mercado_Receita!$L$2:$L$300)+SUMIF(Mercado_Receita!$S$2:$S$300,"44774A4AzulNão se aplicaNão se aplicaAPENão se aplicaIntermediário",Mercado_Receita!$L$2:$L$300)+SUMIF(Mercado_Receita!$S$2:$S$300,"44774A4AzulNão se aplicaNão se aplicaAPENão se aplicaNão se aplica",Mercado_Receita!$L$2:$L$300)</f>
        <v>0</v>
      </c>
      <c r="U5" s="13">
        <f t="shared" si="0"/>
        <v>0</v>
      </c>
      <c r="V5" s="13"/>
      <c r="W5" s="13"/>
    </row>
    <row r="6" spans="1:30" ht="11.25" customHeight="1" x14ac:dyDescent="0.3">
      <c r="A6" s="82"/>
      <c r="B6" s="12" t="s">
        <v>78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74</v>
      </c>
      <c r="I6" s="13">
        <f>SUMIF(Mercado_Receita!$S$2:$S$300,"44440A4GeraçãoNão se aplicaNão se aplicaNão se aplicaNão se aplicaNão se aplica",Mercado_Receita!$J$2:$J$300)+SUMIF(Mercado_Receita!$S$2:$S$300,"44440A4GeraçãoNão se aplicaNão se aplicaAPENão se aplicaNão se aplica",Mercado_Receita!$J$2:$J$300)</f>
        <v>0</v>
      </c>
      <c r="J6" s="13">
        <f>SUMIF(Mercado_Receita!$S$2:$S$300,"44470A4GeraçãoNão se aplicaNão se aplicaNão se aplicaNão se aplicaNão se aplica",Mercado_Receita!$J$2:$J$300)+SUMIF(Mercado_Receita!$S$2:$S$300,"44470A4GeraçãoNão se aplicaNão se aplicaAPENão se aplicaNão se aplica",Mercado_Receita!$J$2:$J$300)</f>
        <v>0</v>
      </c>
      <c r="K6" s="13">
        <f>SUMIF(Mercado_Receita!$S$2:$S$300,"44501A4GeraçãoNão se aplicaNão se aplicaNão se aplicaNão se aplicaNão se aplica",Mercado_Receita!$J$2:$J$300)+SUMIF(Mercado_Receita!$S$2:$S$300,"44501A4GeraçãoNão se aplicaNão se aplicaAPENão se aplicaNão se aplica",Mercado_Receita!$J$2:$J$300)</f>
        <v>0</v>
      </c>
      <c r="L6" s="13">
        <f>SUMIF(Mercado_Receita!$S$2:$S$300,"44531A4GeraçãoNão se aplicaNão se aplicaNão se aplicaNão se aplicaNão se aplica",Mercado_Receita!$J$2:$J$300)+SUMIF(Mercado_Receita!$S$2:$S$300,"44531A4GeraçãoNão se aplicaNão se aplicaAPENão se aplicaNão se aplica",Mercado_Receita!$J$2:$J$300)</f>
        <v>0</v>
      </c>
      <c r="M6" s="13">
        <f>SUMIF(Mercado_Receita!$S$2:$S$300,"44562A4GeraçãoNão se aplicaNão se aplicaNão se aplicaNão se aplicaNão se aplica",Mercado_Receita!$J$2:$J$300)+SUMIF(Mercado_Receita!$S$2:$S$300,"44562A4GeraçãoNão se aplicaNão se aplicaAPENão se aplicaNão se aplica",Mercado_Receita!$J$2:$J$300)</f>
        <v>0</v>
      </c>
      <c r="N6" s="13">
        <f>SUMIF(Mercado_Receita!$S$2:$S$300,"44593A4GeraçãoNão se aplicaNão se aplicaNão se aplicaNão se aplicaNão se aplica",Mercado_Receita!$J$2:$J$300)+SUMIF(Mercado_Receita!$S$2:$S$300,"44593A4GeraçãoNão se aplicaNão se aplicaAPENão se aplicaNão se aplica",Mercado_Receita!$J$2:$J$300)</f>
        <v>0</v>
      </c>
      <c r="O6" s="13">
        <f>SUMIF(Mercado_Receita!$S$2:$S$300,"44621A4GeraçãoNão se aplicaNão se aplicaNão se aplicaNão se aplicaNão se aplica",Mercado_Receita!$J$2:$J$300)+SUMIF(Mercado_Receita!$S$2:$S$300,"44621A4GeraçãoNão se aplicaNão se aplicaAPENão se aplicaNão se aplica",Mercado_Receita!$J$2:$J$300)</f>
        <v>0</v>
      </c>
      <c r="P6" s="13">
        <f>SUMIF(Mercado_Receita!$S$2:$S$300,"44652A4GeraçãoNão se aplicaNão se aplicaNão se aplicaNão se aplicaNão se aplica",Mercado_Receita!$J$2:$J$300)+SUMIF(Mercado_Receita!$S$2:$S$300,"44652A4GeraçãoNão se aplicaNão se aplicaAPENão se aplicaNão se aplica",Mercado_Receita!$J$2:$J$300)</f>
        <v>0</v>
      </c>
      <c r="Q6" s="13">
        <f>SUMIF(Mercado_Receita!$S$2:$S$300,"44682A4GeraçãoNão se aplicaNão se aplicaNão se aplicaNão se aplicaNão se aplica",Mercado_Receita!$J$2:$J$300)+SUMIF(Mercado_Receita!$S$2:$S$300,"44682A4GeraçãoNão se aplicaNão se aplicaAPENão se aplicaNão se aplica",Mercado_Receita!$J$2:$J$300)</f>
        <v>0</v>
      </c>
      <c r="R6" s="13">
        <f>SUMIF(Mercado_Receita!$S$2:$S$300,"44713A4GeraçãoNão se aplicaNão se aplicaNão se aplicaNão se aplicaNão se aplica",Mercado_Receita!$J$2:$J$300)+SUMIF(Mercado_Receita!$S$2:$S$300,"44713A4GeraçãoNão se aplicaNão se aplicaAPENão se aplicaNão se aplica",Mercado_Receita!$J$2:$J$300)</f>
        <v>0</v>
      </c>
      <c r="S6" s="13">
        <f>SUMIF(Mercado_Receita!$S$2:$S$300,"44743A4GeraçãoNão se aplicaNão se aplicaNão se aplicaNão se aplicaNão se aplica",Mercado_Receita!$J$2:$J$300)+SUMIF(Mercado_Receita!$S$2:$S$300,"44743A4GeraçãoNão se aplicaNão se aplicaAPENão se aplicaNão se aplica",Mercado_Receita!$J$2:$J$300)</f>
        <v>0</v>
      </c>
      <c r="T6" s="13">
        <f>SUMIF(Mercado_Receita!$S$2:$S$300,"44774A4GeraçãoNão se aplicaNão se aplicaNão se aplicaNão se aplicaNão se aplica",Mercado_Receita!$J$2:$J$300)+SUMIF(Mercado_Receita!$S$2:$S$300,"44774A4GeraçãoNão se aplicaNão se aplicaAPENão se aplicaNão se aplica",Mercado_Receita!$J$2:$J$300)</f>
        <v>0</v>
      </c>
      <c r="U6" s="13">
        <f t="shared" si="0"/>
        <v>0</v>
      </c>
      <c r="V6" s="13"/>
      <c r="W6" s="13"/>
    </row>
    <row r="7" spans="1:30" ht="11.25" customHeight="1" x14ac:dyDescent="0.3">
      <c r="A7" s="82"/>
      <c r="B7" s="81" t="s">
        <v>39</v>
      </c>
      <c r="C7" s="81" t="s">
        <v>25</v>
      </c>
      <c r="D7" s="81" t="s">
        <v>25</v>
      </c>
      <c r="E7" s="81" t="s">
        <v>25</v>
      </c>
      <c r="F7" s="81" t="s">
        <v>25</v>
      </c>
      <c r="G7" s="13" t="s">
        <v>9</v>
      </c>
      <c r="H7" s="13" t="s">
        <v>74</v>
      </c>
      <c r="I7" s="13">
        <f>SUMIF(Mercado_Receita!$S$2:$S$300,"44440A4VerdeNão se aplicaNão se aplicaNão se aplicaNão se aplicaNão se aplica",Mercado_Receita!$J$2:$J$300)+SUMIF(Mercado_Receita!$S$2:$S$300,"44440A4VerdeNão se aplicaNão se aplicaAPENão se aplicaNão se aplica",Mercado_Receita!$J$2:$J$300)</f>
        <v>3116</v>
      </c>
      <c r="J7" s="13">
        <f>SUMIF(Mercado_Receita!$S$2:$S$300,"44470A4VerdeNão se aplicaNão se aplicaNão se aplicaNão se aplicaNão se aplica",Mercado_Receita!$J$2:$J$300)+SUMIF(Mercado_Receita!$S$2:$S$300,"44470A4VerdeNão se aplicaNão se aplicaAPENão se aplicaNão se aplica",Mercado_Receita!$J$2:$J$300)</f>
        <v>3206</v>
      </c>
      <c r="K7" s="13">
        <f>SUMIF(Mercado_Receita!$S$2:$S$300,"44501A4VerdeNão se aplicaNão se aplicaNão se aplicaNão se aplicaNão se aplica",Mercado_Receita!$J$2:$J$300)+SUMIF(Mercado_Receita!$S$2:$S$300,"44501A4VerdeNão se aplicaNão se aplicaAPENão se aplicaNão se aplica",Mercado_Receita!$J$2:$J$300)</f>
        <v>3206</v>
      </c>
      <c r="L7" s="13">
        <f>SUMIF(Mercado_Receita!$S$2:$S$300,"44531A4VerdeNão se aplicaNão se aplicaNão se aplicaNão se aplicaNão se aplica",Mercado_Receita!$J$2:$J$300)+SUMIF(Mercado_Receita!$S$2:$S$300,"44531A4VerdeNão se aplicaNão se aplicaAPENão se aplicaNão se aplica",Mercado_Receita!$J$2:$J$300)</f>
        <v>3206</v>
      </c>
      <c r="M7" s="13">
        <f>SUMIF(Mercado_Receita!$S$2:$S$300,"44562A4VerdeNão se aplicaNão se aplicaNão se aplicaNão se aplicaNão se aplica",Mercado_Receita!$J$2:$J$300)+SUMIF(Mercado_Receita!$S$2:$S$300,"44562A4VerdeNão se aplicaNão se aplicaAPENão se aplicaNão se aplica",Mercado_Receita!$J$2:$J$300)</f>
        <v>2856</v>
      </c>
      <c r="N7" s="13">
        <f>SUMIF(Mercado_Receita!$S$2:$S$300,"44593A4VerdeNão se aplicaNão se aplicaNão se aplicaNão se aplicaNão se aplica",Mercado_Receita!$J$2:$J$300)+SUMIF(Mercado_Receita!$S$2:$S$300,"44593A4VerdeNão se aplicaNão se aplicaAPENão se aplicaNão se aplica",Mercado_Receita!$J$2:$J$300)</f>
        <v>2862</v>
      </c>
      <c r="O7" s="13">
        <f>SUMIF(Mercado_Receita!$S$2:$S$300,"44621A4VerdeNão se aplicaNão se aplicaNão se aplicaNão se aplicaNão se aplica",Mercado_Receita!$J$2:$J$300)+SUMIF(Mercado_Receita!$S$2:$S$300,"44621A4VerdeNão se aplicaNão se aplicaAPENão se aplicaNão se aplica",Mercado_Receita!$J$2:$J$300)</f>
        <v>2856</v>
      </c>
      <c r="P7" s="13">
        <f>SUMIF(Mercado_Receita!$S$2:$S$300,"44652A4VerdeNão se aplicaNão se aplicaNão se aplicaNão se aplicaNão se aplica",Mercado_Receita!$J$2:$J$300)+SUMIF(Mercado_Receita!$S$2:$S$300,"44652A4VerdeNão se aplicaNão se aplicaAPENão se aplicaNão se aplica",Mercado_Receita!$J$2:$J$300)</f>
        <v>2856</v>
      </c>
      <c r="Q7" s="13">
        <f>SUMIF(Mercado_Receita!$S$2:$S$300,"44682A4VerdeNão se aplicaNão se aplicaNão se aplicaNão se aplicaNão se aplica",Mercado_Receita!$J$2:$J$300)+SUMIF(Mercado_Receita!$S$2:$S$300,"44682A4VerdeNão se aplicaNão se aplicaAPENão se aplicaNão se aplica",Mercado_Receita!$J$2:$J$300)</f>
        <v>2856</v>
      </c>
      <c r="R7" s="13">
        <f>SUMIF(Mercado_Receita!$S$2:$S$300,"44713A4VerdeNão se aplicaNão se aplicaNão se aplicaNão se aplicaNão se aplica",Mercado_Receita!$J$2:$J$300)+SUMIF(Mercado_Receita!$S$2:$S$300,"44713A4VerdeNão se aplicaNão se aplicaAPENão se aplicaNão se aplica",Mercado_Receita!$J$2:$J$300)</f>
        <v>2856</v>
      </c>
      <c r="S7" s="13">
        <f>SUMIF(Mercado_Receita!$S$2:$S$300,"44743A4VerdeNão se aplicaNão se aplicaNão se aplicaNão se aplicaNão se aplica",Mercado_Receita!$J$2:$J$300)+SUMIF(Mercado_Receita!$S$2:$S$300,"44743A4VerdeNão se aplicaNão se aplicaAPENão se aplicaNão se aplica",Mercado_Receita!$J$2:$J$300)</f>
        <v>2857</v>
      </c>
      <c r="T7" s="13">
        <f>SUMIF(Mercado_Receita!$S$2:$S$300,"44774A4VerdeNão se aplicaNão se aplicaNão se aplicaNão se aplicaNão se aplica",Mercado_Receita!$J$2:$J$300)+SUMIF(Mercado_Receita!$S$2:$S$300,"44774A4VerdeNão se aplicaNão se aplicaAPENão se aplicaNão se aplica",Mercado_Receita!$J$2:$J$300)</f>
        <v>2856</v>
      </c>
      <c r="U7" s="13">
        <f t="shared" si="0"/>
        <v>35589</v>
      </c>
      <c r="V7" s="13"/>
      <c r="W7" s="13"/>
    </row>
    <row r="8" spans="1:30" ht="11.25" customHeight="1" x14ac:dyDescent="0.3">
      <c r="A8" s="82"/>
      <c r="B8" s="82"/>
      <c r="C8" s="82"/>
      <c r="D8" s="82"/>
      <c r="E8" s="82"/>
      <c r="F8" s="82"/>
      <c r="G8" s="13" t="s">
        <v>69</v>
      </c>
      <c r="H8" s="13" t="s">
        <v>68</v>
      </c>
      <c r="I8" s="13">
        <f>SUMIF(Mercado_Receita!$S$2:$S$300,"44440A4VerdeNão se aplicaNão se aplicaNão se aplicaNão se aplicaPonta",Mercado_Receita!$L$2:$L$300)</f>
        <v>108.06100000000001</v>
      </c>
      <c r="J8" s="13">
        <f>SUMIF(Mercado_Receita!$S$2:$S$300,"44470A4VerdeNão se aplicaNão se aplicaNão se aplicaNão se aplicaPonta",Mercado_Receita!$L$2:$L$300)</f>
        <v>93.049000000000007</v>
      </c>
      <c r="K8" s="13">
        <f>SUMIF(Mercado_Receita!$S$2:$S$300,"44501A4VerdeNão se aplicaNão se aplicaNão se aplicaNão se aplicaPonta",Mercado_Receita!$L$2:$L$300)</f>
        <v>100.934</v>
      </c>
      <c r="L8" s="13">
        <f>SUMIF(Mercado_Receita!$S$2:$S$300,"44531A4VerdeNão se aplicaNão se aplicaNão se aplicaNão se aplicaPonta",Mercado_Receita!$L$2:$L$300)</f>
        <v>116.443</v>
      </c>
      <c r="M8" s="13">
        <f>SUMIF(Mercado_Receita!$S$2:$S$300,"44562A4VerdeNão se aplicaNão se aplicaNão se aplicaNão se aplicaPonta",Mercado_Receita!$L$2:$L$300)</f>
        <v>104.039</v>
      </c>
      <c r="N8" s="13">
        <f>SUMIF(Mercado_Receita!$S$2:$S$300,"44593A4VerdeNão se aplicaNão se aplicaNão se aplicaNão se aplicaPonta",Mercado_Receita!$L$2:$L$300)</f>
        <v>97.841999999999999</v>
      </c>
      <c r="O8" s="13">
        <f>SUMIF(Mercado_Receita!$S$2:$S$300,"44621A4VerdeNão se aplicaNão se aplicaNão se aplicaNão se aplicaPonta",Mercado_Receita!$L$2:$L$300)</f>
        <v>112.505</v>
      </c>
      <c r="P8" s="13">
        <f>SUMIF(Mercado_Receita!$S$2:$S$300,"44652A4VerdeNão se aplicaNão se aplicaNão se aplicaNão se aplicaPonta",Mercado_Receita!$L$2:$L$300)</f>
        <v>104.58199999999999</v>
      </c>
      <c r="Q8" s="13">
        <f>SUMIF(Mercado_Receita!$S$2:$S$300,"44682A4VerdeNão se aplicaNão se aplicaNão se aplicaNão se aplicaPonta",Mercado_Receita!$L$2:$L$300)</f>
        <v>107.774</v>
      </c>
      <c r="R8" s="13">
        <f>SUMIF(Mercado_Receita!$S$2:$S$300,"44713A4VerdeNão se aplicaNão se aplicaNão se aplicaNão se aplicaPonta",Mercado_Receita!$L$2:$L$300)</f>
        <v>108.846</v>
      </c>
      <c r="S8" s="13">
        <f>SUMIF(Mercado_Receita!$S$2:$S$300,"44743A4VerdeNão se aplicaNão se aplicaNão se aplicaNão se aplicaPonta",Mercado_Receita!$L$2:$L$300)</f>
        <v>111.26600000000001</v>
      </c>
      <c r="T8" s="13">
        <f>SUMIF(Mercado_Receita!$S$2:$S$300,"44774A4VerdeNão se aplicaNão se aplicaNão se aplicaNão se aplicaPonta",Mercado_Receita!$L$2:$L$300)</f>
        <v>116.014</v>
      </c>
      <c r="U8" s="13">
        <f t="shared" si="0"/>
        <v>1281.3549999999998</v>
      </c>
      <c r="V8" s="13"/>
      <c r="W8" s="13"/>
    </row>
    <row r="9" spans="1:30" ht="11.25" customHeight="1" x14ac:dyDescent="0.3">
      <c r="A9" s="82"/>
      <c r="B9" s="82"/>
      <c r="C9" s="82"/>
      <c r="D9" s="82"/>
      <c r="E9" s="82"/>
      <c r="F9" s="82"/>
      <c r="G9" s="13" t="s">
        <v>70</v>
      </c>
      <c r="H9" s="13" t="s">
        <v>68</v>
      </c>
      <c r="I9" s="13">
        <f>SUMIF(Mercado_Receita!$S$2:$S$300,"44440A4VerdeNão se aplicaNão se aplicaNão se aplicaNão se aplicaFora ponta",Mercado_Receita!$L$2:$L$300)</f>
        <v>1026.6869999999999</v>
      </c>
      <c r="J9" s="13">
        <f>SUMIF(Mercado_Receita!$S$2:$S$300,"44470A4VerdeNão se aplicaNão se aplicaNão se aplicaNão se aplicaFora ponta",Mercado_Receita!$L$2:$L$300)</f>
        <v>999.80399999999997</v>
      </c>
      <c r="K9" s="13">
        <f>SUMIF(Mercado_Receita!$S$2:$S$300,"44501A4VerdeNão se aplicaNão se aplicaNão se aplicaNão se aplicaFora ponta",Mercado_Receita!$L$2:$L$300)</f>
        <v>1014.8149999999999</v>
      </c>
      <c r="L9" s="13">
        <f>SUMIF(Mercado_Receita!$S$2:$S$300,"44531A4VerdeNão se aplicaNão se aplicaNão se aplicaNão se aplicaFora ponta",Mercado_Receita!$L$2:$L$300)</f>
        <v>1107.529</v>
      </c>
      <c r="M9" s="13">
        <f>SUMIF(Mercado_Receita!$S$2:$S$300,"44562A4VerdeNão se aplicaNão se aplicaNão se aplicaNão se aplicaFora ponta",Mercado_Receita!$L$2:$L$300)</f>
        <v>1089.9949999999999</v>
      </c>
      <c r="N9" s="13">
        <f>SUMIF(Mercado_Receita!$S$2:$S$300,"44593A4VerdeNão se aplicaNão se aplicaNão se aplicaNão se aplicaFora ponta",Mercado_Receita!$L$2:$L$300)</f>
        <v>1033.463</v>
      </c>
      <c r="O9" s="13">
        <f>SUMIF(Mercado_Receita!$S$2:$S$300,"44621A4VerdeNão se aplicaNão se aplicaNão se aplicaNão se aplicaFora ponta",Mercado_Receita!$L$2:$L$300)</f>
        <v>1041.665</v>
      </c>
      <c r="P9" s="13">
        <f>SUMIF(Mercado_Receita!$S$2:$S$300,"44652A4VerdeNão se aplicaNão se aplicaNão se aplicaNão se aplicaFora ponta",Mercado_Receita!$L$2:$L$300)</f>
        <v>994.92400000000009</v>
      </c>
      <c r="Q9" s="13">
        <f>SUMIF(Mercado_Receita!$S$2:$S$300,"44682A4VerdeNão se aplicaNão se aplicaNão se aplicaNão se aplicaFora ponta",Mercado_Receita!$L$2:$L$300)</f>
        <v>1050.4389999999999</v>
      </c>
      <c r="R9" s="13">
        <f>SUMIF(Mercado_Receita!$S$2:$S$300,"44713A4VerdeNão se aplicaNão se aplicaNão se aplicaNão se aplicaFora ponta",Mercado_Receita!$L$2:$L$300)</f>
        <v>997.39199999999994</v>
      </c>
      <c r="S9" s="13">
        <f>SUMIF(Mercado_Receita!$S$2:$S$300,"44743A4VerdeNão se aplicaNão se aplicaNão se aplicaNão se aplicaFora ponta",Mercado_Receita!$L$2:$L$300)</f>
        <v>1132.0139999999999</v>
      </c>
      <c r="T9" s="13">
        <f>SUMIF(Mercado_Receita!$S$2:$S$300,"44774A4VerdeNão se aplicaNão se aplicaNão se aplicaNão se aplicaFora ponta",Mercado_Receita!$L$2:$L$300)</f>
        <v>1109.7359999999999</v>
      </c>
      <c r="U9" s="13">
        <f t="shared" si="0"/>
        <v>12598.463</v>
      </c>
      <c r="V9" s="13"/>
      <c r="W9" s="13"/>
    </row>
    <row r="10" spans="1:30" ht="11.25" customHeight="1" x14ac:dyDescent="0.3">
      <c r="A10" s="82"/>
      <c r="B10" s="82"/>
      <c r="C10" s="82"/>
      <c r="D10" s="82"/>
      <c r="E10" s="81" t="s">
        <v>77</v>
      </c>
      <c r="F10" s="81" t="s">
        <v>25</v>
      </c>
      <c r="G10" s="13" t="s">
        <v>69</v>
      </c>
      <c r="H10" s="13" t="s">
        <v>68</v>
      </c>
      <c r="I10" s="13">
        <f>SUMIF(Mercado_Receita!$S$2:$S$300,"44440A4VerdeNão se aplicaNão se aplicaAPENão se aplicaPonta",Mercado_Receita!$L$2:$L$300)</f>
        <v>0</v>
      </c>
      <c r="J10" s="13">
        <f>SUMIF(Mercado_Receita!$S$2:$S$300,"44470A4VerdeNão se aplicaNão se aplicaAPENão se aplicaPonta",Mercado_Receita!$L$2:$L$300)</f>
        <v>0</v>
      </c>
      <c r="K10" s="13">
        <f>SUMIF(Mercado_Receita!$S$2:$S$300,"44501A4VerdeNão se aplicaNão se aplicaAPENão se aplicaPonta",Mercado_Receita!$L$2:$L$300)</f>
        <v>0</v>
      </c>
      <c r="L10" s="13">
        <f>SUMIF(Mercado_Receita!$S$2:$S$300,"44531A4VerdeNão se aplicaNão se aplicaAPENão se aplicaPonta",Mercado_Receita!$L$2:$L$300)</f>
        <v>0</v>
      </c>
      <c r="M10" s="13">
        <f>SUMIF(Mercado_Receita!$S$2:$S$300,"44562A4VerdeNão se aplicaNão se aplicaAPENão se aplicaPonta",Mercado_Receita!$L$2:$L$300)</f>
        <v>0</v>
      </c>
      <c r="N10" s="13">
        <f>SUMIF(Mercado_Receita!$S$2:$S$300,"44593A4VerdeNão se aplicaNão se aplicaAPENão se aplicaPonta",Mercado_Receita!$L$2:$L$300)</f>
        <v>0</v>
      </c>
      <c r="O10" s="13">
        <f>SUMIF(Mercado_Receita!$S$2:$S$300,"44621A4VerdeNão se aplicaNão se aplicaAPENão se aplicaPonta",Mercado_Receita!$L$2:$L$300)</f>
        <v>0</v>
      </c>
      <c r="P10" s="13">
        <f>SUMIF(Mercado_Receita!$S$2:$S$300,"44652A4VerdeNão se aplicaNão se aplicaAPENão se aplicaPonta",Mercado_Receita!$L$2:$L$300)</f>
        <v>0</v>
      </c>
      <c r="Q10" s="13">
        <f>SUMIF(Mercado_Receita!$S$2:$S$300,"44682A4VerdeNão se aplicaNão se aplicaAPENão se aplicaPonta",Mercado_Receita!$L$2:$L$300)</f>
        <v>0</v>
      </c>
      <c r="R10" s="13">
        <f>SUMIF(Mercado_Receita!$S$2:$S$300,"44713A4VerdeNão se aplicaNão se aplicaAPENão se aplicaPonta",Mercado_Receita!$L$2:$L$300)</f>
        <v>0</v>
      </c>
      <c r="S10" s="13">
        <f>SUMIF(Mercado_Receita!$S$2:$S$300,"44743A4VerdeNão se aplicaNão se aplicaAPENão se aplicaPonta",Mercado_Receita!$L$2:$L$300)</f>
        <v>0</v>
      </c>
      <c r="T10" s="13">
        <f>SUMIF(Mercado_Receita!$S$2:$S$300,"44774A4VerdeNão se aplicaNão se aplicaAPENão se aplicaPonta",Mercado_Receita!$L$2:$L$300)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82"/>
      <c r="B11" s="82"/>
      <c r="C11" s="82"/>
      <c r="D11" s="82"/>
      <c r="E11" s="82"/>
      <c r="F11" s="82"/>
      <c r="G11" s="13" t="s">
        <v>70</v>
      </c>
      <c r="H11" s="13" t="s">
        <v>68</v>
      </c>
      <c r="I11" s="13">
        <f>SUMIF(Mercado_Receita!$S$2:$S$300,"44440A4VerdeNão se aplicaNão se aplicaAPENão se aplicaFora ponta",Mercado_Receita!$L$2:$L$300)</f>
        <v>0</v>
      </c>
      <c r="J11" s="13">
        <f>SUMIF(Mercado_Receita!$S$2:$S$300,"44470A4VerdeNão se aplicaNão se aplicaAPENão se aplicaFora ponta",Mercado_Receita!$L$2:$L$300)</f>
        <v>0</v>
      </c>
      <c r="K11" s="13">
        <f>SUMIF(Mercado_Receita!$S$2:$S$300,"44501A4VerdeNão se aplicaNão se aplicaAPENão se aplicaFora ponta",Mercado_Receita!$L$2:$L$300)</f>
        <v>0</v>
      </c>
      <c r="L11" s="13">
        <f>SUMIF(Mercado_Receita!$S$2:$S$300,"44531A4VerdeNão se aplicaNão se aplicaAPENão se aplicaFora ponta",Mercado_Receita!$L$2:$L$300)</f>
        <v>0</v>
      </c>
      <c r="M11" s="13">
        <f>SUMIF(Mercado_Receita!$S$2:$S$300,"44562A4VerdeNão se aplicaNão se aplicaAPENão se aplicaFora ponta",Mercado_Receita!$L$2:$L$300)</f>
        <v>0</v>
      </c>
      <c r="N11" s="13">
        <f>SUMIF(Mercado_Receita!$S$2:$S$300,"44593A4VerdeNão se aplicaNão se aplicaAPENão se aplicaFora ponta",Mercado_Receita!$L$2:$L$300)</f>
        <v>0</v>
      </c>
      <c r="O11" s="13">
        <f>SUMIF(Mercado_Receita!$S$2:$S$300,"44621A4VerdeNão se aplicaNão se aplicaAPENão se aplicaFora ponta",Mercado_Receita!$L$2:$L$300)</f>
        <v>0</v>
      </c>
      <c r="P11" s="13">
        <f>SUMIF(Mercado_Receita!$S$2:$S$300,"44652A4VerdeNão se aplicaNão se aplicaAPENão se aplicaFora ponta",Mercado_Receita!$L$2:$L$300)</f>
        <v>0</v>
      </c>
      <c r="Q11" s="13">
        <f>SUMIF(Mercado_Receita!$S$2:$S$300,"44682A4VerdeNão se aplicaNão se aplicaAPENão se aplicaFora ponta",Mercado_Receita!$L$2:$L$300)</f>
        <v>0</v>
      </c>
      <c r="R11" s="13">
        <f>SUMIF(Mercado_Receita!$S$2:$S$300,"44713A4VerdeNão se aplicaNão se aplicaAPENão se aplicaFora ponta",Mercado_Receita!$L$2:$L$300)</f>
        <v>0</v>
      </c>
      <c r="S11" s="13">
        <f>SUMIF(Mercado_Receita!$S$2:$S$300,"44743A4VerdeNão se aplicaNão se aplicaAPENão se aplicaFora ponta",Mercado_Receita!$L$2:$L$300)</f>
        <v>0</v>
      </c>
      <c r="T11" s="13">
        <f>SUMIF(Mercado_Receita!$S$2:$S$300,"44774A4VerdeNão se aplicaNão se aplicaAPENão se aplicaFora ponta",Mercado_Receita!$L$2:$L$300)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81" t="s">
        <v>79</v>
      </c>
      <c r="B12" s="81" t="s">
        <v>78</v>
      </c>
      <c r="C12" s="81" t="s">
        <v>25</v>
      </c>
      <c r="D12" s="81" t="s">
        <v>25</v>
      </c>
      <c r="E12" s="12" t="s">
        <v>80</v>
      </c>
      <c r="F12" s="12" t="s">
        <v>25</v>
      </c>
      <c r="G12" s="13" t="s">
        <v>9</v>
      </c>
      <c r="H12" s="13" t="s">
        <v>74</v>
      </c>
      <c r="I12" s="13">
        <f>SUMIF(Mercado_Receita!$S$2:$S$300,"44440BGeraçãoNão se aplicaNão se aplicaTIPO 01Não se aplicaNão se aplica",Mercado_Receita!$J$2:$J$300)+SUMIF(Mercado_Receita!$S$2:$S$300,"44440BGeraçãoNão se aplicaNão se aplicaAPENão se aplicaNão se aplica",Mercado_Receita!$J$2:$J$300)</f>
        <v>0</v>
      </c>
      <c r="J12" s="13">
        <f>SUMIF(Mercado_Receita!$S$2:$S$300,"44470BGeraçãoNão se aplicaNão se aplicaTIPO 01Não se aplicaNão se aplica",Mercado_Receita!$J$2:$J$300)+SUMIF(Mercado_Receita!$S$2:$S$300,"44470BGeraçãoNão se aplicaNão se aplicaAPENão se aplicaNão se aplica",Mercado_Receita!$J$2:$J$300)</f>
        <v>0</v>
      </c>
      <c r="K12" s="13">
        <f>SUMIF(Mercado_Receita!$S$2:$S$300,"44501BGeraçãoNão se aplicaNão se aplicaTIPO 01Não se aplicaNão se aplica",Mercado_Receita!$J$2:$J$300)+SUMIF(Mercado_Receita!$S$2:$S$300,"44501BGeraçãoNão se aplicaNão se aplicaAPENão se aplicaNão se aplica",Mercado_Receita!$J$2:$J$300)</f>
        <v>0</v>
      </c>
      <c r="L12" s="13">
        <f>SUMIF(Mercado_Receita!$S$2:$S$300,"44531BGeraçãoNão se aplicaNão se aplicaTIPO 01Não se aplicaNão se aplica",Mercado_Receita!$J$2:$J$300)+SUMIF(Mercado_Receita!$S$2:$S$300,"44531BGeraçãoNão se aplicaNão se aplicaAPENão se aplicaNão se aplica",Mercado_Receita!$J$2:$J$300)</f>
        <v>0</v>
      </c>
      <c r="M12" s="13">
        <f>SUMIF(Mercado_Receita!$S$2:$S$300,"44562BGeraçãoNão se aplicaNão se aplicaTIPO 01Não se aplicaNão se aplica",Mercado_Receita!$J$2:$J$300)+SUMIF(Mercado_Receita!$S$2:$S$300,"44562BGeraçãoNão se aplicaNão se aplicaAPENão se aplicaNão se aplica",Mercado_Receita!$J$2:$J$300)</f>
        <v>0</v>
      </c>
      <c r="N12" s="13">
        <f>SUMIF(Mercado_Receita!$S$2:$S$300,"44593BGeraçãoNão se aplicaNão se aplicaTIPO 01Não se aplicaNão se aplica",Mercado_Receita!$J$2:$J$300)+SUMIF(Mercado_Receita!$S$2:$S$300,"44593BGeraçãoNão se aplicaNão se aplicaAPENão se aplicaNão se aplica",Mercado_Receita!$J$2:$J$300)</f>
        <v>0</v>
      </c>
      <c r="O12" s="13">
        <f>SUMIF(Mercado_Receita!$S$2:$S$300,"44621BGeraçãoNão se aplicaNão se aplicaTIPO 01Não se aplicaNão se aplica",Mercado_Receita!$J$2:$J$300)+SUMIF(Mercado_Receita!$S$2:$S$300,"44621BGeraçãoNão se aplicaNão se aplicaAPENão se aplicaNão se aplica",Mercado_Receita!$J$2:$J$300)</f>
        <v>0</v>
      </c>
      <c r="P12" s="13">
        <f>SUMIF(Mercado_Receita!$S$2:$S$300,"44652BGeraçãoNão se aplicaNão se aplicaTIPO 01Não se aplicaNão se aplica",Mercado_Receita!$J$2:$J$300)+SUMIF(Mercado_Receita!$S$2:$S$300,"44652BGeraçãoNão se aplicaNão se aplicaAPENão se aplicaNão se aplica",Mercado_Receita!$J$2:$J$300)</f>
        <v>0</v>
      </c>
      <c r="Q12" s="13">
        <f>SUMIF(Mercado_Receita!$S$2:$S$300,"44682BGeraçãoNão se aplicaNão se aplicaTIPO 01Não se aplicaNão se aplica",Mercado_Receita!$J$2:$J$300)+SUMIF(Mercado_Receita!$S$2:$S$300,"44682BGeraçãoNão se aplicaNão se aplicaAPENão se aplicaNão se aplica",Mercado_Receita!$J$2:$J$300)</f>
        <v>0</v>
      </c>
      <c r="R12" s="13">
        <f>SUMIF(Mercado_Receita!$S$2:$S$300,"44713BGeraçãoNão se aplicaNão se aplicaTIPO 01Não se aplicaNão se aplica",Mercado_Receita!$J$2:$J$300)+SUMIF(Mercado_Receita!$S$2:$S$300,"44713BGeraçãoNão se aplicaNão se aplicaAPENão se aplicaNão se aplica",Mercado_Receita!$J$2:$J$300)</f>
        <v>0</v>
      </c>
      <c r="S12" s="13">
        <f>SUMIF(Mercado_Receita!$S$2:$S$300,"44743BGeraçãoNão se aplicaNão se aplicaTIPO 01Não se aplicaNão se aplica",Mercado_Receita!$J$2:$J$300)+SUMIF(Mercado_Receita!$S$2:$S$300,"44743BGeraçãoNão se aplicaNão se aplicaAPENão se aplicaNão se aplica",Mercado_Receita!$J$2:$J$300)</f>
        <v>0</v>
      </c>
      <c r="T12" s="13">
        <f>SUMIF(Mercado_Receita!$S$2:$S$300,"44774BGeraçãoNão se aplicaNão se aplicaTIPO 01Não se aplicaNão se aplica",Mercado_Receita!$J$2:$J$300)+SUMIF(Mercado_Receita!$S$2:$S$300,"44774BGeraçãoNão se aplicaNão se aplicaAPENão se aplicaNão se aplica",Mercado_Receita!$J$2:$J$300)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82"/>
      <c r="B13" s="82"/>
      <c r="C13" s="82"/>
      <c r="D13" s="82"/>
      <c r="E13" s="12" t="s">
        <v>81</v>
      </c>
      <c r="F13" s="12" t="s">
        <v>25</v>
      </c>
      <c r="G13" s="13" t="s">
        <v>9</v>
      </c>
      <c r="H13" s="13" t="s">
        <v>74</v>
      </c>
      <c r="I13" s="13">
        <f>SUMIF(Mercado_Receita!$S$2:$S$300,"44440BGeraçãoNão se aplicaNão se aplicaTIPO 02Não se aplicaNão se aplica",Mercado_Receita!$J$2:$J$300)+SUMIF(Mercado_Receita!$S$2:$S$300,"44440BGeraçãoNão se aplicaNão se aplicaAPENão se aplicaNão se aplica",Mercado_Receita!$J$2:$J$300)</f>
        <v>0</v>
      </c>
      <c r="J13" s="13">
        <f>SUMIF(Mercado_Receita!$S$2:$S$300,"44470BGeraçãoNão se aplicaNão se aplicaTIPO 02Não se aplicaNão se aplica",Mercado_Receita!$J$2:$J$300)+SUMIF(Mercado_Receita!$S$2:$S$300,"44470BGeraçãoNão se aplicaNão se aplicaAPENão se aplicaNão se aplica",Mercado_Receita!$J$2:$J$300)</f>
        <v>0</v>
      </c>
      <c r="K13" s="13">
        <f>SUMIF(Mercado_Receita!$S$2:$S$300,"44501BGeraçãoNão se aplicaNão se aplicaTIPO 02Não se aplicaNão se aplica",Mercado_Receita!$J$2:$J$300)+SUMIF(Mercado_Receita!$S$2:$S$300,"44501BGeraçãoNão se aplicaNão se aplicaAPENão se aplicaNão se aplica",Mercado_Receita!$J$2:$J$300)</f>
        <v>0</v>
      </c>
      <c r="L13" s="13">
        <f>SUMIF(Mercado_Receita!$S$2:$S$300,"44531BGeraçãoNão se aplicaNão se aplicaTIPO 02Não se aplicaNão se aplica",Mercado_Receita!$J$2:$J$300)+SUMIF(Mercado_Receita!$S$2:$S$300,"44531BGeraçãoNão se aplicaNão se aplicaAPENão se aplicaNão se aplica",Mercado_Receita!$J$2:$J$300)</f>
        <v>0</v>
      </c>
      <c r="M13" s="13">
        <f>SUMIF(Mercado_Receita!$S$2:$S$300,"44562BGeraçãoNão se aplicaNão se aplicaTIPO 02Não se aplicaNão se aplica",Mercado_Receita!$J$2:$J$300)+SUMIF(Mercado_Receita!$S$2:$S$300,"44562BGeraçãoNão se aplicaNão se aplicaAPENão se aplicaNão se aplica",Mercado_Receita!$J$2:$J$300)</f>
        <v>0</v>
      </c>
      <c r="N13" s="13">
        <f>SUMIF(Mercado_Receita!$S$2:$S$300,"44593BGeraçãoNão se aplicaNão se aplicaTIPO 02Não se aplicaNão se aplica",Mercado_Receita!$J$2:$J$300)+SUMIF(Mercado_Receita!$S$2:$S$300,"44593BGeraçãoNão se aplicaNão se aplicaAPENão se aplicaNão se aplica",Mercado_Receita!$J$2:$J$300)</f>
        <v>0</v>
      </c>
      <c r="O13" s="13">
        <f>SUMIF(Mercado_Receita!$S$2:$S$300,"44621BGeraçãoNão se aplicaNão se aplicaTIPO 02Não se aplicaNão se aplica",Mercado_Receita!$J$2:$J$300)+SUMIF(Mercado_Receita!$S$2:$S$300,"44621BGeraçãoNão se aplicaNão se aplicaAPENão se aplicaNão se aplica",Mercado_Receita!$J$2:$J$300)</f>
        <v>0</v>
      </c>
      <c r="P13" s="13">
        <f>SUMIF(Mercado_Receita!$S$2:$S$300,"44652BGeraçãoNão se aplicaNão se aplicaTIPO 02Não se aplicaNão se aplica",Mercado_Receita!$J$2:$J$300)+SUMIF(Mercado_Receita!$S$2:$S$300,"44652BGeraçãoNão se aplicaNão se aplicaAPENão se aplicaNão se aplica",Mercado_Receita!$J$2:$J$300)</f>
        <v>0</v>
      </c>
      <c r="Q13" s="13">
        <f>SUMIF(Mercado_Receita!$S$2:$S$300,"44682BGeraçãoNão se aplicaNão se aplicaTIPO 02Não se aplicaNão se aplica",Mercado_Receita!$J$2:$J$300)+SUMIF(Mercado_Receita!$S$2:$S$300,"44682BGeraçãoNão se aplicaNão se aplicaAPENão se aplicaNão se aplica",Mercado_Receita!$J$2:$J$300)</f>
        <v>0</v>
      </c>
      <c r="R13" s="13">
        <f>SUMIF(Mercado_Receita!$S$2:$S$300,"44713BGeraçãoNão se aplicaNão se aplicaTIPO 02Não se aplicaNão se aplica",Mercado_Receita!$J$2:$J$300)+SUMIF(Mercado_Receita!$S$2:$S$300,"44713BGeraçãoNão se aplicaNão se aplicaAPENão se aplicaNão se aplica",Mercado_Receita!$J$2:$J$300)</f>
        <v>0</v>
      </c>
      <c r="S13" s="13">
        <f>SUMIF(Mercado_Receita!$S$2:$S$300,"44743BGeraçãoNão se aplicaNão se aplicaTIPO 02Não se aplicaNão se aplica",Mercado_Receita!$J$2:$J$300)+SUMIF(Mercado_Receita!$S$2:$S$300,"44743BGeraçãoNão se aplicaNão se aplicaAPENão se aplicaNão se aplica",Mercado_Receita!$J$2:$J$300)</f>
        <v>0</v>
      </c>
      <c r="T13" s="13">
        <f>SUMIF(Mercado_Receita!$S$2:$S$300,"44774BGeraçãoNão se aplicaNão se aplicaTIPO 02Não se aplicaNão se aplica",Mercado_Receita!$J$2:$J$300)+SUMIF(Mercado_Receita!$S$2:$S$300,"44774BGeraçãoNão se aplicaNão se aplicaAPENão se aplicaNão se aplica",Mercado_Receita!$J$2:$J$300)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81" t="s">
        <v>22</v>
      </c>
      <c r="B14" s="81" t="s">
        <v>33</v>
      </c>
      <c r="C14" s="81" t="s">
        <v>24</v>
      </c>
      <c r="D14" s="81" t="s">
        <v>24</v>
      </c>
      <c r="E14" s="81" t="s">
        <v>25</v>
      </c>
      <c r="F14" s="81" t="s">
        <v>25</v>
      </c>
      <c r="G14" s="13" t="s">
        <v>69</v>
      </c>
      <c r="H14" s="13" t="s">
        <v>68</v>
      </c>
      <c r="I14" s="13">
        <f>SUMIF(Mercado_Receita!$S$2:$S$300,"44440B1BrancaResidencialResidencialNão se aplicaNão se aplicaPonta",Mercado_Receita!$L$2:$L$300)</f>
        <v>0</v>
      </c>
      <c r="J14" s="13">
        <f>SUMIF(Mercado_Receita!$S$2:$S$300,"44470B1BrancaResidencialResidencialNão se aplicaNão se aplicaPonta",Mercado_Receita!$L$2:$L$300)</f>
        <v>0</v>
      </c>
      <c r="K14" s="13">
        <f>SUMIF(Mercado_Receita!$S$2:$S$300,"44501B1BrancaResidencialResidencialNão se aplicaNão se aplicaPonta",Mercado_Receita!$L$2:$L$300)</f>
        <v>0</v>
      </c>
      <c r="L14" s="13">
        <f>SUMIF(Mercado_Receita!$S$2:$S$300,"44531B1BrancaResidencialResidencialNão se aplicaNão se aplicaPonta",Mercado_Receita!$L$2:$L$300)</f>
        <v>0</v>
      </c>
      <c r="M14" s="13">
        <f>SUMIF(Mercado_Receita!$S$2:$S$300,"44562B1BrancaResidencialResidencialNão se aplicaNão se aplicaPonta",Mercado_Receita!$L$2:$L$300)</f>
        <v>0</v>
      </c>
      <c r="N14" s="13">
        <f>SUMIF(Mercado_Receita!$S$2:$S$300,"44593B1BrancaResidencialResidencialNão se aplicaNão se aplicaPonta",Mercado_Receita!$L$2:$L$300)</f>
        <v>0</v>
      </c>
      <c r="O14" s="13">
        <f>SUMIF(Mercado_Receita!$S$2:$S$300,"44621B1BrancaResidencialResidencialNão se aplicaNão se aplicaPonta",Mercado_Receita!$L$2:$L$300)</f>
        <v>0</v>
      </c>
      <c r="P14" s="13">
        <f>SUMIF(Mercado_Receita!$S$2:$S$300,"44652B1BrancaResidencialResidencialNão se aplicaNão se aplicaPonta",Mercado_Receita!$L$2:$L$300)</f>
        <v>0</v>
      </c>
      <c r="Q14" s="13">
        <f>SUMIF(Mercado_Receita!$S$2:$S$300,"44682B1BrancaResidencialResidencialNão se aplicaNão se aplicaPonta",Mercado_Receita!$L$2:$L$300)</f>
        <v>0</v>
      </c>
      <c r="R14" s="13">
        <f>SUMIF(Mercado_Receita!$S$2:$S$300,"44713B1BrancaResidencialResidencialNão se aplicaNão se aplicaPonta",Mercado_Receita!$L$2:$L$300)</f>
        <v>0</v>
      </c>
      <c r="S14" s="13">
        <f>SUMIF(Mercado_Receita!$S$2:$S$300,"44743B1BrancaResidencialResidencialNão se aplicaNão se aplicaPonta",Mercado_Receita!$L$2:$L$300)</f>
        <v>0</v>
      </c>
      <c r="T14" s="13">
        <f>SUMIF(Mercado_Receita!$S$2:$S$300,"44774B1BrancaResidencialResidencialNão se aplicaNão se aplicaPonta",Mercado_Receita!$L$2:$L$300)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82"/>
      <c r="B15" s="82"/>
      <c r="C15" s="82"/>
      <c r="D15" s="82"/>
      <c r="E15" s="82"/>
      <c r="F15" s="82"/>
      <c r="G15" s="13" t="s">
        <v>82</v>
      </c>
      <c r="H15" s="13" t="s">
        <v>68</v>
      </c>
      <c r="I15" s="13">
        <f>SUMIF(Mercado_Receita!$S$2:$S$300,"44440B1BrancaResidencialResidencialNão se aplicaNão se aplicaIntermediário",Mercado_Receita!$L$2:$L$300)</f>
        <v>1.7999999999999999E-2</v>
      </c>
      <c r="J15" s="13">
        <f>SUMIF(Mercado_Receita!$S$2:$S$300,"44470B1BrancaResidencialResidencialNão se aplicaNão se aplicaIntermediário",Mercado_Receita!$L$2:$L$300)</f>
        <v>1.9E-2</v>
      </c>
      <c r="K15" s="13">
        <f>SUMIF(Mercado_Receita!$S$2:$S$300,"44501B1BrancaResidencialResidencialNão se aplicaNão se aplicaIntermediário",Mercado_Receita!$L$2:$L$300)</f>
        <v>1.2999999999999999E-2</v>
      </c>
      <c r="L15" s="13">
        <f>SUMIF(Mercado_Receita!$S$2:$S$300,"44531B1BrancaResidencialResidencialNão se aplicaNão se aplicaIntermediário",Mercado_Receita!$L$2:$L$300)</f>
        <v>7.0000000000000001E-3</v>
      </c>
      <c r="M15" s="13">
        <f>SUMIF(Mercado_Receita!$S$2:$S$300,"44562B1BrancaResidencialResidencialNão se aplicaNão se aplicaIntermediário",Mercado_Receita!$L$2:$L$300)</f>
        <v>0.03</v>
      </c>
      <c r="N15" s="13">
        <f>SUMIF(Mercado_Receita!$S$2:$S$300,"44593B1BrancaResidencialResidencialNão se aplicaNão se aplicaIntermediário",Mercado_Receita!$L$2:$L$300)</f>
        <v>1.2E-2</v>
      </c>
      <c r="O15" s="13">
        <f>SUMIF(Mercado_Receita!$S$2:$S$300,"44621B1BrancaResidencialResidencialNão se aplicaNão se aplicaIntermediário",Mercado_Receita!$L$2:$L$300)</f>
        <v>2.8000000000000001E-2</v>
      </c>
      <c r="P15" s="13">
        <f>SUMIF(Mercado_Receita!$S$2:$S$300,"44652B1BrancaResidencialResidencialNão se aplicaNão se aplicaIntermediário",Mercado_Receita!$L$2:$L$300)</f>
        <v>1.9E-2</v>
      </c>
      <c r="Q15" s="13">
        <f>SUMIF(Mercado_Receita!$S$2:$S$300,"44682B1BrancaResidencialResidencialNão se aplicaNão se aplicaIntermediário",Mercado_Receita!$L$2:$L$300)</f>
        <v>1.2E-2</v>
      </c>
      <c r="R15" s="13">
        <f>SUMIF(Mercado_Receita!$S$2:$S$300,"44713B1BrancaResidencialResidencialNão se aplicaNão se aplicaIntermediário",Mercado_Receita!$L$2:$L$300)</f>
        <v>1.2E-2</v>
      </c>
      <c r="S15" s="13">
        <f>SUMIF(Mercado_Receita!$S$2:$S$300,"44743B1BrancaResidencialResidencialNão se aplicaNão se aplicaIntermediário",Mercado_Receita!$L$2:$L$300)</f>
        <v>1.2999999999999999E-2</v>
      </c>
      <c r="T15" s="13">
        <f>SUMIF(Mercado_Receita!$S$2:$S$300,"44774B1BrancaResidencialResidencialNão se aplicaNão se aplicaIntermediário",Mercado_Receita!$L$2:$L$300)</f>
        <v>1.2E-2</v>
      </c>
      <c r="U15" s="13">
        <f t="shared" si="0"/>
        <v>0.19500000000000003</v>
      </c>
      <c r="V15" s="13"/>
      <c r="W15" s="13"/>
    </row>
    <row r="16" spans="1:30" ht="11.25" customHeight="1" x14ac:dyDescent="0.3">
      <c r="A16" s="82"/>
      <c r="B16" s="82"/>
      <c r="C16" s="82"/>
      <c r="D16" s="82"/>
      <c r="E16" s="82"/>
      <c r="F16" s="82"/>
      <c r="G16" s="13" t="s">
        <v>70</v>
      </c>
      <c r="H16" s="13" t="s">
        <v>68</v>
      </c>
      <c r="I16" s="13">
        <f>SUMIF(Mercado_Receita!$S$2:$S$300,"44440B1BrancaResidencialResidencialNão se aplicaNão se aplicaFora ponta",Mercado_Receita!$L$2:$L$300)</f>
        <v>3.6999999999999998E-2</v>
      </c>
      <c r="J16" s="13">
        <f>SUMIF(Mercado_Receita!$S$2:$S$300,"44470B1BrancaResidencialResidencialNão se aplicaNão se aplicaFora ponta",Mercado_Receita!$L$2:$L$300)</f>
        <v>3.5000000000000003E-2</v>
      </c>
      <c r="K16" s="13">
        <f>SUMIF(Mercado_Receita!$S$2:$S$300,"44501B1BrancaResidencialResidencialNão se aplicaNão se aplicaFora ponta",Mercado_Receita!$L$2:$L$300)</f>
        <v>0.04</v>
      </c>
      <c r="L16" s="13">
        <f>SUMIF(Mercado_Receita!$S$2:$S$300,"44531B1BrancaResidencialResidencialNão se aplicaNão se aplicaFora ponta",Mercado_Receita!$L$2:$L$300)</f>
        <v>0.06</v>
      </c>
      <c r="M16" s="13">
        <f>SUMIF(Mercado_Receita!$S$2:$S$300,"44562B1BrancaResidencialResidencialNão se aplicaNão se aplicaFora ponta",Mercado_Receita!$L$2:$L$300)</f>
        <v>3.1E-2</v>
      </c>
      <c r="N16" s="13">
        <f>SUMIF(Mercado_Receita!$S$2:$S$300,"44593B1BrancaResidencialResidencialNão se aplicaNão se aplicaFora ponta",Mercado_Receita!$L$2:$L$300)</f>
        <v>3.7999999999999999E-2</v>
      </c>
      <c r="O16" s="13">
        <f>SUMIF(Mercado_Receita!$S$2:$S$300,"44621B1BrancaResidencialResidencialNão se aplicaNão se aplicaFora ponta",Mercado_Receita!$L$2:$L$300)</f>
        <v>6.2E-2</v>
      </c>
      <c r="P16" s="13">
        <f>SUMIF(Mercado_Receita!$S$2:$S$300,"44652B1BrancaResidencialResidencialNão se aplicaNão se aplicaFora ponta",Mercado_Receita!$L$2:$L$300)</f>
        <v>4.1000000000000002E-2</v>
      </c>
      <c r="Q16" s="13">
        <f>SUMIF(Mercado_Receita!$S$2:$S$300,"44682B1BrancaResidencialResidencialNão se aplicaNão se aplicaFora ponta",Mercado_Receita!$L$2:$L$300)</f>
        <v>4.2000000000000003E-2</v>
      </c>
      <c r="R16" s="13">
        <f>SUMIF(Mercado_Receita!$S$2:$S$300,"44713B1BrancaResidencialResidencialNão se aplicaNão se aplicaFora ponta",Mercado_Receita!$L$2:$L$300)</f>
        <v>4.2000000000000003E-2</v>
      </c>
      <c r="S16" s="13">
        <f>SUMIF(Mercado_Receita!$S$2:$S$300,"44743B1BrancaResidencialResidencialNão se aplicaNão se aplicaFora ponta",Mercado_Receita!$L$2:$L$300)</f>
        <v>4.1000000000000002E-2</v>
      </c>
      <c r="T16" s="13">
        <f>SUMIF(Mercado_Receita!$S$2:$S$300,"44774B1BrancaResidencialResidencialNão se aplicaNão se aplicaFora ponta",Mercado_Receita!$L$2:$L$300)</f>
        <v>4.2000000000000003E-2</v>
      </c>
      <c r="U16" s="13">
        <f t="shared" si="0"/>
        <v>0.51100000000000001</v>
      </c>
      <c r="V16" s="13"/>
      <c r="W16" s="13"/>
    </row>
    <row r="17" spans="1:23" ht="11.25" customHeight="1" x14ac:dyDescent="0.3">
      <c r="A17" s="82"/>
      <c r="B17" s="81" t="s">
        <v>23</v>
      </c>
      <c r="C17" s="81" t="s">
        <v>24</v>
      </c>
      <c r="D17" s="12" t="s">
        <v>24</v>
      </c>
      <c r="E17" s="12" t="s">
        <v>25</v>
      </c>
      <c r="F17" s="12" t="s">
        <v>25</v>
      </c>
      <c r="G17" s="13" t="s">
        <v>72</v>
      </c>
      <c r="H17" s="13" t="s">
        <v>68</v>
      </c>
      <c r="I17" s="13">
        <f>SUMIF(Mercado_Receita!$S$2:$S$300,"44440B1ConvencionalResidencialResidencialNão se aplicaNão se aplicaPonta",Mercado_Receita!$L$2:$L$300)+SUMIF(Mercado_Receita!$S$2:$S$300,"44440B1ConvencionalResidencialResidencialNão se aplicaNão se aplicaFora ponta",Mercado_Receita!$L$2:$L$300)+SUMIF(Mercado_Receita!$S$2:$S$300,"44440B1ConvencionalResidencialResidencialNão se aplicaNão se aplicaIntermediário",Mercado_Receita!$L$2:$L$300)+SUMIF(Mercado_Receita!$S$2:$S$300,"44440B1ConvencionalResidencialResidencialNão se aplicaNão se aplicaNão se aplica",Mercado_Receita!$L$2:$L$300)</f>
        <v>425.66299999999995</v>
      </c>
      <c r="J17" s="13">
        <f>SUMIF(Mercado_Receita!$S$2:$S$300,"44470B1ConvencionalResidencialResidencialNão se aplicaNão se aplicaPonta",Mercado_Receita!$L$2:$L$300)+SUMIF(Mercado_Receita!$S$2:$S$300,"44470B1ConvencionalResidencialResidencialNão se aplicaNão se aplicaFora ponta",Mercado_Receita!$L$2:$L$300)+SUMIF(Mercado_Receita!$S$2:$S$300,"44470B1ConvencionalResidencialResidencialNão se aplicaNão se aplicaIntermediário",Mercado_Receita!$L$2:$L$300)+SUMIF(Mercado_Receita!$S$2:$S$300,"44470B1ConvencionalResidencialResidencialNão se aplicaNão se aplicaNão se aplica",Mercado_Receita!$L$2:$L$300)</f>
        <v>409.95499999999998</v>
      </c>
      <c r="K17" s="13">
        <f>SUMIF(Mercado_Receita!$S$2:$S$300,"44501B1ConvencionalResidencialResidencialNão se aplicaNão se aplicaPonta",Mercado_Receita!$L$2:$L$300)+SUMIF(Mercado_Receita!$S$2:$S$300,"44501B1ConvencionalResidencialResidencialNão se aplicaNão se aplicaFora ponta",Mercado_Receita!$L$2:$L$300)+SUMIF(Mercado_Receita!$S$2:$S$300,"44501B1ConvencionalResidencialResidencialNão se aplicaNão se aplicaIntermediário",Mercado_Receita!$L$2:$L$300)+SUMIF(Mercado_Receita!$S$2:$S$300,"44501B1ConvencionalResidencialResidencialNão se aplicaNão se aplicaNão se aplica",Mercado_Receita!$L$2:$L$300)</f>
        <v>431.69100000000003</v>
      </c>
      <c r="L17" s="13">
        <f>SUMIF(Mercado_Receita!$S$2:$S$300,"44531B1ConvencionalResidencialResidencialNão se aplicaNão se aplicaPonta",Mercado_Receita!$L$2:$L$300)+SUMIF(Mercado_Receita!$S$2:$S$300,"44531B1ConvencionalResidencialResidencialNão se aplicaNão se aplicaFora ponta",Mercado_Receita!$L$2:$L$300)+SUMIF(Mercado_Receita!$S$2:$S$300,"44531B1ConvencionalResidencialResidencialNão se aplicaNão se aplicaIntermediário",Mercado_Receita!$L$2:$L$300)+SUMIF(Mercado_Receita!$S$2:$S$300,"44531B1ConvencionalResidencialResidencialNão se aplicaNão se aplicaNão se aplica",Mercado_Receita!$L$2:$L$300)</f>
        <v>446.12899999999996</v>
      </c>
      <c r="M17" s="13">
        <f>SUMIF(Mercado_Receita!$S$2:$S$300,"44562B1ConvencionalResidencialResidencialNão se aplicaNão se aplicaPonta",Mercado_Receita!$L$2:$L$300)+SUMIF(Mercado_Receita!$S$2:$S$300,"44562B1ConvencionalResidencialResidencialNão se aplicaNão se aplicaFora ponta",Mercado_Receita!$L$2:$L$300)+SUMIF(Mercado_Receita!$S$2:$S$300,"44562B1ConvencionalResidencialResidencialNão se aplicaNão se aplicaIntermediário",Mercado_Receita!$L$2:$L$300)+SUMIF(Mercado_Receita!$S$2:$S$300,"44562B1ConvencionalResidencialResidencialNão se aplicaNão se aplicaNão se aplica",Mercado_Receita!$L$2:$L$300)</f>
        <v>544.65200000000004</v>
      </c>
      <c r="N17" s="13">
        <f>SUMIF(Mercado_Receita!$S$2:$S$300,"44593B1ConvencionalResidencialResidencialNão se aplicaNão se aplicaPonta",Mercado_Receita!$L$2:$L$300)+SUMIF(Mercado_Receita!$S$2:$S$300,"44593B1ConvencionalResidencialResidencialNão se aplicaNão se aplicaFora ponta",Mercado_Receita!$L$2:$L$300)+SUMIF(Mercado_Receita!$S$2:$S$300,"44593B1ConvencionalResidencialResidencialNão se aplicaNão se aplicaIntermediário",Mercado_Receita!$L$2:$L$300)+SUMIF(Mercado_Receita!$S$2:$S$300,"44593B1ConvencionalResidencialResidencialNão se aplicaNão se aplicaNão se aplica",Mercado_Receita!$L$2:$L$300)</f>
        <v>468.13499999999999</v>
      </c>
      <c r="O17" s="13">
        <f>SUMIF(Mercado_Receita!$S$2:$S$300,"44621B1ConvencionalResidencialResidencialNão se aplicaNão se aplicaPonta",Mercado_Receita!$L$2:$L$300)+SUMIF(Mercado_Receita!$S$2:$S$300,"44621B1ConvencionalResidencialResidencialNão se aplicaNão se aplicaFora ponta",Mercado_Receita!$L$2:$L$300)+SUMIF(Mercado_Receita!$S$2:$S$300,"44621B1ConvencionalResidencialResidencialNão se aplicaNão se aplicaIntermediário",Mercado_Receita!$L$2:$L$300)+SUMIF(Mercado_Receita!$S$2:$S$300,"44621B1ConvencionalResidencialResidencialNão se aplicaNão se aplicaNão se aplica",Mercado_Receita!$L$2:$L$300)</f>
        <v>501.85</v>
      </c>
      <c r="P17" s="13">
        <f>SUMIF(Mercado_Receita!$S$2:$S$300,"44652B1ConvencionalResidencialResidencialNão se aplicaNão se aplicaPonta",Mercado_Receita!$L$2:$L$300)+SUMIF(Mercado_Receita!$S$2:$S$300,"44652B1ConvencionalResidencialResidencialNão se aplicaNão se aplicaFora ponta",Mercado_Receita!$L$2:$L$300)+SUMIF(Mercado_Receita!$S$2:$S$300,"44652B1ConvencionalResidencialResidencialNão se aplicaNão se aplicaIntermediário",Mercado_Receita!$L$2:$L$300)+SUMIF(Mercado_Receita!$S$2:$S$300,"44652B1ConvencionalResidencialResidencialNão se aplicaNão se aplicaNão se aplica",Mercado_Receita!$L$2:$L$300)</f>
        <v>458.55200000000002</v>
      </c>
      <c r="Q17" s="13">
        <f>SUMIF(Mercado_Receita!$S$2:$S$300,"44682B1ConvencionalResidencialResidencialNão se aplicaNão se aplicaPonta",Mercado_Receita!$L$2:$L$300)+SUMIF(Mercado_Receita!$S$2:$S$300,"44682B1ConvencionalResidencialResidencialNão se aplicaNão se aplicaFora ponta",Mercado_Receita!$L$2:$L$300)+SUMIF(Mercado_Receita!$S$2:$S$300,"44682B1ConvencionalResidencialResidencialNão se aplicaNão se aplicaIntermediário",Mercado_Receita!$L$2:$L$300)+SUMIF(Mercado_Receita!$S$2:$S$300,"44682B1ConvencionalResidencialResidencialNão se aplicaNão se aplicaNão se aplica",Mercado_Receita!$L$2:$L$300)</f>
        <v>417.92</v>
      </c>
      <c r="R17" s="13">
        <f>SUMIF(Mercado_Receita!$S$2:$S$300,"44713B1ConvencionalResidencialResidencialNão se aplicaNão se aplicaPonta",Mercado_Receita!$L$2:$L$300)+SUMIF(Mercado_Receita!$S$2:$S$300,"44713B1ConvencionalResidencialResidencialNão se aplicaNão se aplicaFora ponta",Mercado_Receita!$L$2:$L$300)+SUMIF(Mercado_Receita!$S$2:$S$300,"44713B1ConvencionalResidencialResidencialNão se aplicaNão se aplicaIntermediário",Mercado_Receita!$L$2:$L$300)+SUMIF(Mercado_Receita!$S$2:$S$300,"44713B1ConvencionalResidencialResidencialNão se aplicaNão se aplicaNão se aplica",Mercado_Receita!$L$2:$L$300)</f>
        <v>377.54900000000004</v>
      </c>
      <c r="S17" s="13">
        <f>SUMIF(Mercado_Receita!$S$2:$S$300,"44743B1ConvencionalResidencialResidencialNão se aplicaNão se aplicaPonta",Mercado_Receita!$L$2:$L$300)+SUMIF(Mercado_Receita!$S$2:$S$300,"44743B1ConvencionalResidencialResidencialNão se aplicaNão se aplicaFora ponta",Mercado_Receita!$L$2:$L$300)+SUMIF(Mercado_Receita!$S$2:$S$300,"44743B1ConvencionalResidencialResidencialNão se aplicaNão se aplicaIntermediário",Mercado_Receita!$L$2:$L$300)+SUMIF(Mercado_Receita!$S$2:$S$300,"44743B1ConvencionalResidencialResidencialNão se aplicaNão se aplicaNão se aplica",Mercado_Receita!$L$2:$L$300)</f>
        <v>395.74</v>
      </c>
      <c r="T17" s="13">
        <f>SUMIF(Mercado_Receita!$S$2:$S$300,"44774B1ConvencionalResidencialResidencialNão se aplicaNão se aplicaPonta",Mercado_Receita!$L$2:$L$300)+SUMIF(Mercado_Receita!$S$2:$S$300,"44774B1ConvencionalResidencialResidencialNão se aplicaNão se aplicaFora ponta",Mercado_Receita!$L$2:$L$300)+SUMIF(Mercado_Receita!$S$2:$S$300,"44774B1ConvencionalResidencialResidencialNão se aplicaNão se aplicaIntermediário",Mercado_Receita!$L$2:$L$300)+SUMIF(Mercado_Receita!$S$2:$S$300,"44774B1ConvencionalResidencialResidencialNão se aplicaNão se aplicaNão se aplica",Mercado_Receita!$L$2:$L$300)</f>
        <v>406.82900000000001</v>
      </c>
      <c r="U17" s="13">
        <f t="shared" si="0"/>
        <v>5284.665</v>
      </c>
      <c r="V17" s="13"/>
      <c r="W17" s="13"/>
    </row>
    <row r="18" spans="1:23" ht="11.25" customHeight="1" x14ac:dyDescent="0.3">
      <c r="A18" s="82"/>
      <c r="B18" s="82"/>
      <c r="C18" s="82"/>
      <c r="D18" s="12" t="s">
        <v>29</v>
      </c>
      <c r="E18" s="12" t="s">
        <v>25</v>
      </c>
      <c r="F18" s="12" t="s">
        <v>25</v>
      </c>
      <c r="G18" s="13" t="s">
        <v>72</v>
      </c>
      <c r="H18" s="13" t="s">
        <v>68</v>
      </c>
      <c r="I18" s="13">
        <f>SUMIF(Mercado_Receita!$S$2:$S$300,"44440B1ConvencionalResidencialResidencial baixa renda – faixa 01Não se aplicaNão se aplicaPonta",Mercado_Receita!$L$2:$L$300)+SUMIF(Mercado_Receita!$S$2:$S$300,"44440B1ConvencionalResidencialResidencial baixa renda – faixa 01Não se aplicaNão se aplicaFora ponta",Mercado_Receita!$L$2:$L$300)+SUMIF(Mercado_Receita!$S$2:$S$300,"44440B1ConvencionalResidencialResidencial baixa renda – faixa 01Não se aplicaNão se aplicaIntermediário",Mercado_Receita!$L$2:$L$300)+SUMIF(Mercado_Receita!$S$2:$S$300,"44440B1ConvencionalResidencialResidencial baixa renda – faixa 01Não se aplicaNão se aplicaNão se aplica",Mercado_Receita!$L$2:$L$300)</f>
        <v>3.63</v>
      </c>
      <c r="J18" s="13">
        <f>SUMIF(Mercado_Receita!$S$2:$S$300,"44470B1ConvencionalResidencialResidencial baixa renda – faixa 01Não se aplicaNão se aplicaPonta",Mercado_Receita!$L$2:$L$300)+SUMIF(Mercado_Receita!$S$2:$S$300,"44470B1ConvencionalResidencialResidencial baixa renda – faixa 01Não se aplicaNão se aplicaFora ponta",Mercado_Receita!$L$2:$L$300)+SUMIF(Mercado_Receita!$S$2:$S$300,"44470B1ConvencionalResidencialResidencial baixa renda – faixa 01Não se aplicaNão se aplicaIntermediário",Mercado_Receita!$L$2:$L$300)+SUMIF(Mercado_Receita!$S$2:$S$300,"44470B1ConvencionalResidencialResidencial baixa renda – faixa 01Não se aplicaNão se aplicaNão se aplica",Mercado_Receita!$L$2:$L$300)</f>
        <v>3.63</v>
      </c>
      <c r="K18" s="13">
        <f>SUMIF(Mercado_Receita!$S$2:$S$300,"44501B1ConvencionalResidencialResidencial baixa renda – faixa 01Não se aplicaNão se aplicaPonta",Mercado_Receita!$L$2:$L$300)+SUMIF(Mercado_Receita!$S$2:$S$300,"44501B1ConvencionalResidencialResidencial baixa renda – faixa 01Não se aplicaNão se aplicaFora ponta",Mercado_Receita!$L$2:$L$300)+SUMIF(Mercado_Receita!$S$2:$S$300,"44501B1ConvencionalResidencialResidencial baixa renda – faixa 01Não se aplicaNão se aplicaIntermediário",Mercado_Receita!$L$2:$L$300)+SUMIF(Mercado_Receita!$S$2:$S$300,"44501B1ConvencionalResidencialResidencial baixa renda – faixa 01Não se aplicaNão se aplicaNão se aplica",Mercado_Receita!$L$2:$L$300)</f>
        <v>3.6</v>
      </c>
      <c r="L18" s="13">
        <f>SUMIF(Mercado_Receita!$S$2:$S$300,"44531B1ConvencionalResidencialResidencial baixa renda – faixa 01Não se aplicaNão se aplicaPonta",Mercado_Receita!$L$2:$L$300)+SUMIF(Mercado_Receita!$S$2:$S$300,"44531B1ConvencionalResidencialResidencial baixa renda – faixa 01Não se aplicaNão se aplicaFora ponta",Mercado_Receita!$L$2:$L$300)+SUMIF(Mercado_Receita!$S$2:$S$300,"44531B1ConvencionalResidencialResidencial baixa renda – faixa 01Não se aplicaNão se aplicaIntermediário",Mercado_Receita!$L$2:$L$300)+SUMIF(Mercado_Receita!$S$2:$S$300,"44531B1ConvencionalResidencialResidencial baixa renda – faixa 01Não se aplicaNão se aplicaNão se aplica",Mercado_Receita!$L$2:$L$300)</f>
        <v>3.66</v>
      </c>
      <c r="M18" s="13">
        <f>SUMIF(Mercado_Receita!$S$2:$S$300,"44562B1ConvencionalResidencialResidencial baixa renda – faixa 01Não se aplicaNão se aplicaPonta",Mercado_Receita!$L$2:$L$300)+SUMIF(Mercado_Receita!$S$2:$S$300,"44562B1ConvencionalResidencialResidencial baixa renda – faixa 01Não se aplicaNão se aplicaFora ponta",Mercado_Receita!$L$2:$L$300)+SUMIF(Mercado_Receita!$S$2:$S$300,"44562B1ConvencionalResidencialResidencial baixa renda – faixa 01Não se aplicaNão se aplicaIntermediário",Mercado_Receita!$L$2:$L$300)+SUMIF(Mercado_Receita!$S$2:$S$300,"44562B1ConvencionalResidencialResidencial baixa renda – faixa 01Não se aplicaNão se aplicaNão se aplica",Mercado_Receita!$L$2:$L$300)</f>
        <v>3.6</v>
      </c>
      <c r="N18" s="13">
        <f>SUMIF(Mercado_Receita!$S$2:$S$300,"44593B1ConvencionalResidencialResidencial baixa renda – faixa 01Não se aplicaNão se aplicaPonta",Mercado_Receita!$L$2:$L$300)+SUMIF(Mercado_Receita!$S$2:$S$300,"44593B1ConvencionalResidencialResidencial baixa renda – faixa 01Não se aplicaNão se aplicaFora ponta",Mercado_Receita!$L$2:$L$300)+SUMIF(Mercado_Receita!$S$2:$S$300,"44593B1ConvencionalResidencialResidencial baixa renda – faixa 01Não se aplicaNão se aplicaIntermediário",Mercado_Receita!$L$2:$L$300)+SUMIF(Mercado_Receita!$S$2:$S$300,"44593B1ConvencionalResidencialResidencial baixa renda – faixa 01Não se aplicaNão se aplicaNão se aplica",Mercado_Receita!$L$2:$L$300)</f>
        <v>3.72</v>
      </c>
      <c r="O18" s="13">
        <f>SUMIF(Mercado_Receita!$S$2:$S$300,"44621B1ConvencionalResidencialResidencial baixa renda – faixa 01Não se aplicaNão se aplicaPonta",Mercado_Receita!$L$2:$L$300)+SUMIF(Mercado_Receita!$S$2:$S$300,"44621B1ConvencionalResidencialResidencial baixa renda – faixa 01Não se aplicaNão se aplicaFora ponta",Mercado_Receita!$L$2:$L$300)+SUMIF(Mercado_Receita!$S$2:$S$300,"44621B1ConvencionalResidencialResidencial baixa renda – faixa 01Não se aplicaNão se aplicaIntermediário",Mercado_Receita!$L$2:$L$300)+SUMIF(Mercado_Receita!$S$2:$S$300,"44621B1ConvencionalResidencialResidencial baixa renda – faixa 01Não se aplicaNão se aplicaNão se aplica",Mercado_Receita!$L$2:$L$300)</f>
        <v>3.74</v>
      </c>
      <c r="P18" s="13">
        <f>SUMIF(Mercado_Receita!$S$2:$S$300,"44652B1ConvencionalResidencialResidencial baixa renda – faixa 01Não se aplicaNão se aplicaPonta",Mercado_Receita!$L$2:$L$300)+SUMIF(Mercado_Receita!$S$2:$S$300,"44652B1ConvencionalResidencialResidencial baixa renda – faixa 01Não se aplicaNão se aplicaFora ponta",Mercado_Receita!$L$2:$L$300)+SUMIF(Mercado_Receita!$S$2:$S$300,"44652B1ConvencionalResidencialResidencial baixa renda – faixa 01Não se aplicaNão se aplicaIntermediário",Mercado_Receita!$L$2:$L$300)+SUMIF(Mercado_Receita!$S$2:$S$300,"44652B1ConvencionalResidencialResidencial baixa renda – faixa 01Não se aplicaNão se aplicaNão se aplica",Mercado_Receita!$L$2:$L$300)</f>
        <v>3.84</v>
      </c>
      <c r="Q18" s="13">
        <f>SUMIF(Mercado_Receita!$S$2:$S$300,"44682B1ConvencionalResidencialResidencial baixa renda – faixa 01Não se aplicaNão se aplicaPonta",Mercado_Receita!$L$2:$L$300)+SUMIF(Mercado_Receita!$S$2:$S$300,"44682B1ConvencionalResidencialResidencial baixa renda – faixa 01Não se aplicaNão se aplicaFora ponta",Mercado_Receita!$L$2:$L$300)+SUMIF(Mercado_Receita!$S$2:$S$300,"44682B1ConvencionalResidencialResidencial baixa renda – faixa 01Não se aplicaNão se aplicaIntermediário",Mercado_Receita!$L$2:$L$300)+SUMIF(Mercado_Receita!$S$2:$S$300,"44682B1ConvencionalResidencialResidencial baixa renda – faixa 01Não se aplicaNão se aplicaNão se aplica",Mercado_Receita!$L$2:$L$300)</f>
        <v>3.93</v>
      </c>
      <c r="R18" s="13">
        <f>SUMIF(Mercado_Receita!$S$2:$S$300,"44713B1ConvencionalResidencialResidencial baixa renda – faixa 01Não se aplicaNão se aplicaPonta",Mercado_Receita!$L$2:$L$300)+SUMIF(Mercado_Receita!$S$2:$S$300,"44713B1ConvencionalResidencialResidencial baixa renda – faixa 01Não se aplicaNão se aplicaFora ponta",Mercado_Receita!$L$2:$L$300)+SUMIF(Mercado_Receita!$S$2:$S$300,"44713B1ConvencionalResidencialResidencial baixa renda – faixa 01Não se aplicaNão se aplicaIntermediário",Mercado_Receita!$L$2:$L$300)+SUMIF(Mercado_Receita!$S$2:$S$300,"44713B1ConvencionalResidencialResidencial baixa renda – faixa 01Não se aplicaNão se aplicaNão se aplica",Mercado_Receita!$L$2:$L$300)</f>
        <v>7.5</v>
      </c>
      <c r="S18" s="13">
        <f>SUMIF(Mercado_Receita!$S$2:$S$300,"44743B1ConvencionalResidencialResidencial baixa renda – faixa 01Não se aplicaNão se aplicaPonta",Mercado_Receita!$L$2:$L$300)+SUMIF(Mercado_Receita!$S$2:$S$300,"44743B1ConvencionalResidencialResidencial baixa renda – faixa 01Não se aplicaNão se aplicaFora ponta",Mercado_Receita!$L$2:$L$300)+SUMIF(Mercado_Receita!$S$2:$S$300,"44743B1ConvencionalResidencialResidencial baixa renda – faixa 01Não se aplicaNão se aplicaIntermediário",Mercado_Receita!$L$2:$L$300)+SUMIF(Mercado_Receita!$S$2:$S$300,"44743B1ConvencionalResidencialResidencial baixa renda – faixa 01Não se aplicaNão se aplicaNão se aplica",Mercado_Receita!$L$2:$L$300)</f>
        <v>7.4160000000000004</v>
      </c>
      <c r="T18" s="13">
        <f>SUMIF(Mercado_Receita!$S$2:$S$300,"44774B1ConvencionalResidencialResidencial baixa renda – faixa 01Não se aplicaNão se aplicaPonta",Mercado_Receita!$L$2:$L$300)+SUMIF(Mercado_Receita!$S$2:$S$300,"44774B1ConvencionalResidencialResidencial baixa renda – faixa 01Não se aplicaNão se aplicaFora ponta",Mercado_Receita!$L$2:$L$300)+SUMIF(Mercado_Receita!$S$2:$S$300,"44774B1ConvencionalResidencialResidencial baixa renda – faixa 01Não se aplicaNão se aplicaIntermediário",Mercado_Receita!$L$2:$L$300)+SUMIF(Mercado_Receita!$S$2:$S$300,"44774B1ConvencionalResidencialResidencial baixa renda – faixa 01Não se aplicaNão se aplicaNão se aplica",Mercado_Receita!$L$2:$L$300)</f>
        <v>5.55</v>
      </c>
      <c r="U18" s="13">
        <f t="shared" si="0"/>
        <v>53.816000000000003</v>
      </c>
      <c r="V18" s="13"/>
      <c r="W18" s="13"/>
    </row>
    <row r="19" spans="1:23" ht="11.25" customHeight="1" x14ac:dyDescent="0.3">
      <c r="A19" s="82"/>
      <c r="B19" s="82"/>
      <c r="C19" s="82"/>
      <c r="D19" s="12" t="s">
        <v>30</v>
      </c>
      <c r="E19" s="12" t="s">
        <v>25</v>
      </c>
      <c r="F19" s="12" t="s">
        <v>25</v>
      </c>
      <c r="G19" s="13" t="s">
        <v>72</v>
      </c>
      <c r="H19" s="13" t="s">
        <v>68</v>
      </c>
      <c r="I19" s="13">
        <f>SUMIF(Mercado_Receita!$S$2:$S$300,"44440B1ConvencionalResidencialResidencial baixa renda – faixa 02Não se aplicaNão se aplicaPonta",Mercado_Receita!$L$2:$L$300)+SUMIF(Mercado_Receita!$S$2:$S$300,"44440B1ConvencionalResidencialResidencial baixa renda – faixa 02Não se aplicaNão se aplicaFora ponta",Mercado_Receita!$L$2:$L$300)+SUMIF(Mercado_Receita!$S$2:$S$300,"44440B1ConvencionalResidencialResidencial baixa renda – faixa 02Não se aplicaNão se aplicaIntermediário",Mercado_Receita!$L$2:$L$300)+SUMIF(Mercado_Receita!$S$2:$S$300,"44440B1ConvencionalResidencialResidencial baixa renda – faixa 02Não se aplicaNão se aplicaNão se aplica",Mercado_Receita!$L$2:$L$300)</f>
        <v>7.7220000000000004</v>
      </c>
      <c r="J19" s="13">
        <f>SUMIF(Mercado_Receita!$S$2:$S$300,"44470B1ConvencionalResidencialResidencial baixa renda – faixa 02Não se aplicaNão se aplicaPonta",Mercado_Receita!$L$2:$L$300)+SUMIF(Mercado_Receita!$S$2:$S$300,"44470B1ConvencionalResidencialResidencial baixa renda – faixa 02Não se aplicaNão se aplicaFora ponta",Mercado_Receita!$L$2:$L$300)+SUMIF(Mercado_Receita!$S$2:$S$300,"44470B1ConvencionalResidencialResidencial baixa renda – faixa 02Não se aplicaNão se aplicaIntermediário",Mercado_Receita!$L$2:$L$300)+SUMIF(Mercado_Receita!$S$2:$S$300,"44470B1ConvencionalResidencialResidencial baixa renda – faixa 02Não se aplicaNão se aplicaNão se aplica",Mercado_Receita!$L$2:$L$300)</f>
        <v>7.4450000000000003</v>
      </c>
      <c r="K19" s="13">
        <f>SUMIF(Mercado_Receita!$S$2:$S$300,"44501B1ConvencionalResidencialResidencial baixa renda – faixa 02Não se aplicaNão se aplicaPonta",Mercado_Receita!$L$2:$L$300)+SUMIF(Mercado_Receita!$S$2:$S$300,"44501B1ConvencionalResidencialResidencial baixa renda – faixa 02Não se aplicaNão se aplicaFora ponta",Mercado_Receita!$L$2:$L$300)+SUMIF(Mercado_Receita!$S$2:$S$300,"44501B1ConvencionalResidencialResidencial baixa renda – faixa 02Não se aplicaNão se aplicaIntermediário",Mercado_Receita!$L$2:$L$300)+SUMIF(Mercado_Receita!$S$2:$S$300,"44501B1ConvencionalResidencialResidencial baixa renda – faixa 02Não se aplicaNão se aplicaNão se aplica",Mercado_Receita!$L$2:$L$300)</f>
        <v>7.48</v>
      </c>
      <c r="L19" s="13">
        <f>SUMIF(Mercado_Receita!$S$2:$S$300,"44531B1ConvencionalResidencialResidencial baixa renda – faixa 02Não se aplicaNão se aplicaPonta",Mercado_Receita!$L$2:$L$300)+SUMIF(Mercado_Receita!$S$2:$S$300,"44531B1ConvencionalResidencialResidencial baixa renda – faixa 02Não se aplicaNão se aplicaFora ponta",Mercado_Receita!$L$2:$L$300)+SUMIF(Mercado_Receita!$S$2:$S$300,"44531B1ConvencionalResidencialResidencial baixa renda – faixa 02Não se aplicaNão se aplicaIntermediário",Mercado_Receita!$L$2:$L$300)+SUMIF(Mercado_Receita!$S$2:$S$300,"44531B1ConvencionalResidencialResidencial baixa renda – faixa 02Não se aplicaNão se aplicaNão se aplica",Mercado_Receita!$L$2:$L$300)</f>
        <v>7.7610000000000001</v>
      </c>
      <c r="M19" s="13">
        <f>SUMIF(Mercado_Receita!$S$2:$S$300,"44562B1ConvencionalResidencialResidencial baixa renda – faixa 02Não se aplicaNão se aplicaPonta",Mercado_Receita!$L$2:$L$300)+SUMIF(Mercado_Receita!$S$2:$S$300,"44562B1ConvencionalResidencialResidencial baixa renda – faixa 02Não se aplicaNão se aplicaFora ponta",Mercado_Receita!$L$2:$L$300)+SUMIF(Mercado_Receita!$S$2:$S$300,"44562B1ConvencionalResidencialResidencial baixa renda – faixa 02Não se aplicaNão se aplicaIntermediário",Mercado_Receita!$L$2:$L$300)+SUMIF(Mercado_Receita!$S$2:$S$300,"44562B1ConvencionalResidencialResidencial baixa renda – faixa 02Não se aplicaNão se aplicaNão se aplica",Mercado_Receita!$L$2:$L$300)</f>
        <v>7.7949999999999999</v>
      </c>
      <c r="N19" s="13">
        <f>SUMIF(Mercado_Receita!$S$2:$S$300,"44593B1ConvencionalResidencialResidencial baixa renda – faixa 02Não se aplicaNão se aplicaPonta",Mercado_Receita!$L$2:$L$300)+SUMIF(Mercado_Receita!$S$2:$S$300,"44593B1ConvencionalResidencialResidencial baixa renda – faixa 02Não se aplicaNão se aplicaFora ponta",Mercado_Receita!$L$2:$L$300)+SUMIF(Mercado_Receita!$S$2:$S$300,"44593B1ConvencionalResidencialResidencial baixa renda – faixa 02Não se aplicaNão se aplicaIntermediário",Mercado_Receita!$L$2:$L$300)+SUMIF(Mercado_Receita!$S$2:$S$300,"44593B1ConvencionalResidencialResidencial baixa renda – faixa 02Não se aplicaNão se aplicaNão se aplica",Mercado_Receita!$L$2:$L$300)</f>
        <v>8.0180000000000007</v>
      </c>
      <c r="O19" s="13">
        <f>SUMIF(Mercado_Receita!$S$2:$S$300,"44621B1ConvencionalResidencialResidencial baixa renda – faixa 02Não se aplicaNão se aplicaPonta",Mercado_Receita!$L$2:$L$300)+SUMIF(Mercado_Receita!$S$2:$S$300,"44621B1ConvencionalResidencialResidencial baixa renda – faixa 02Não se aplicaNão se aplicaFora ponta",Mercado_Receita!$L$2:$L$300)+SUMIF(Mercado_Receita!$S$2:$S$300,"44621B1ConvencionalResidencialResidencial baixa renda – faixa 02Não se aplicaNão se aplicaIntermediário",Mercado_Receita!$L$2:$L$300)+SUMIF(Mercado_Receita!$S$2:$S$300,"44621B1ConvencionalResidencialResidencial baixa renda – faixa 02Não se aplicaNão se aplicaNão se aplica",Mercado_Receita!$L$2:$L$300)</f>
        <v>8.0980000000000008</v>
      </c>
      <c r="P19" s="13">
        <f>SUMIF(Mercado_Receita!$S$2:$S$300,"44652B1ConvencionalResidencialResidencial baixa renda – faixa 02Não se aplicaNão se aplicaPonta",Mercado_Receita!$L$2:$L$300)+SUMIF(Mercado_Receita!$S$2:$S$300,"44652B1ConvencionalResidencialResidencial baixa renda – faixa 02Não se aplicaNão se aplicaFora ponta",Mercado_Receita!$L$2:$L$300)+SUMIF(Mercado_Receita!$S$2:$S$300,"44652B1ConvencionalResidencialResidencial baixa renda – faixa 02Não se aplicaNão se aplicaIntermediário",Mercado_Receita!$L$2:$L$300)+SUMIF(Mercado_Receita!$S$2:$S$300,"44652B1ConvencionalResidencialResidencial baixa renda – faixa 02Não se aplicaNão se aplicaNão se aplica",Mercado_Receita!$L$2:$L$300)</f>
        <v>8.4</v>
      </c>
      <c r="Q19" s="13">
        <f>SUMIF(Mercado_Receita!$S$2:$S$300,"44682B1ConvencionalResidencialResidencial baixa renda – faixa 02Não se aplicaNão se aplicaPonta",Mercado_Receita!$L$2:$L$300)+SUMIF(Mercado_Receita!$S$2:$S$300,"44682B1ConvencionalResidencialResidencial baixa renda – faixa 02Não se aplicaNão se aplicaFora ponta",Mercado_Receita!$L$2:$L$300)+SUMIF(Mercado_Receita!$S$2:$S$300,"44682B1ConvencionalResidencialResidencial baixa renda – faixa 02Não se aplicaNão se aplicaIntermediário",Mercado_Receita!$L$2:$L$300)+SUMIF(Mercado_Receita!$S$2:$S$300,"44682B1ConvencionalResidencialResidencial baixa renda – faixa 02Não se aplicaNão se aplicaNão se aplica",Mercado_Receita!$L$2:$L$300)</f>
        <v>8.14</v>
      </c>
      <c r="R19" s="13">
        <f>SUMIF(Mercado_Receita!$S$2:$S$300,"44713B1ConvencionalResidencialResidencial baixa renda – faixa 02Não se aplicaNão se aplicaPonta",Mercado_Receita!$L$2:$L$300)+SUMIF(Mercado_Receita!$S$2:$S$300,"44713B1ConvencionalResidencialResidencial baixa renda – faixa 02Não se aplicaNão se aplicaFora ponta",Mercado_Receita!$L$2:$L$300)+SUMIF(Mercado_Receita!$S$2:$S$300,"44713B1ConvencionalResidencialResidencial baixa renda – faixa 02Não se aplicaNão se aplicaIntermediário",Mercado_Receita!$L$2:$L$300)+SUMIF(Mercado_Receita!$S$2:$S$300,"44713B1ConvencionalResidencialResidencial baixa renda – faixa 02Não se aplicaNão se aplicaNão se aplica",Mercado_Receita!$L$2:$L$300)</f>
        <v>13.033000000000001</v>
      </c>
      <c r="S19" s="13">
        <f>SUMIF(Mercado_Receita!$S$2:$S$300,"44743B1ConvencionalResidencialResidencial baixa renda – faixa 02Não se aplicaNão se aplicaPonta",Mercado_Receita!$L$2:$L$300)+SUMIF(Mercado_Receita!$S$2:$S$300,"44743B1ConvencionalResidencialResidencial baixa renda – faixa 02Não se aplicaNão se aplicaFora ponta",Mercado_Receita!$L$2:$L$300)+SUMIF(Mercado_Receita!$S$2:$S$300,"44743B1ConvencionalResidencialResidencial baixa renda – faixa 02Não se aplicaNão se aplicaIntermediário",Mercado_Receita!$L$2:$L$300)+SUMIF(Mercado_Receita!$S$2:$S$300,"44743B1ConvencionalResidencialResidencial baixa renda – faixa 02Não se aplicaNão se aplicaNão se aplica",Mercado_Receita!$L$2:$L$300)</f>
        <v>12.66</v>
      </c>
      <c r="T19" s="13">
        <f>SUMIF(Mercado_Receita!$S$2:$S$300,"44774B1ConvencionalResidencialResidencial baixa renda – faixa 02Não se aplicaNão se aplicaPonta",Mercado_Receita!$L$2:$L$300)+SUMIF(Mercado_Receita!$S$2:$S$300,"44774B1ConvencionalResidencialResidencial baixa renda – faixa 02Não se aplicaNão se aplicaFora ponta",Mercado_Receita!$L$2:$L$300)+SUMIF(Mercado_Receita!$S$2:$S$300,"44774B1ConvencionalResidencialResidencial baixa renda – faixa 02Não se aplicaNão se aplicaIntermediário",Mercado_Receita!$L$2:$L$300)+SUMIF(Mercado_Receita!$S$2:$S$300,"44774B1ConvencionalResidencialResidencial baixa renda – faixa 02Não se aplicaNão se aplicaNão se aplica",Mercado_Receita!$L$2:$L$300)</f>
        <v>10.305999999999999</v>
      </c>
      <c r="U19" s="13">
        <f t="shared" si="0"/>
        <v>106.858</v>
      </c>
      <c r="V19" s="13"/>
      <c r="W19" s="13"/>
    </row>
    <row r="20" spans="1:23" ht="11.25" customHeight="1" x14ac:dyDescent="0.3">
      <c r="A20" s="82"/>
      <c r="B20" s="82"/>
      <c r="C20" s="82"/>
      <c r="D20" s="12" t="s">
        <v>31</v>
      </c>
      <c r="E20" s="12" t="s">
        <v>25</v>
      </c>
      <c r="F20" s="12" t="s">
        <v>25</v>
      </c>
      <c r="G20" s="13" t="s">
        <v>72</v>
      </c>
      <c r="H20" s="13" t="s">
        <v>68</v>
      </c>
      <c r="I20" s="13">
        <f>SUMIF(Mercado_Receita!$S$2:$S$300,"44440B1ConvencionalResidencialResidencial baixa renda – faixa 03Não se aplicaNão se aplicaPonta",Mercado_Receita!$L$2:$L$300)+SUMIF(Mercado_Receita!$S$2:$S$300,"44440B1ConvencionalResidencialResidencial baixa renda – faixa 03Não se aplicaNão se aplicaFora ponta",Mercado_Receita!$L$2:$L$300)+SUMIF(Mercado_Receita!$S$2:$S$300,"44440B1ConvencionalResidencialResidencial baixa renda – faixa 03Não se aplicaNão se aplicaIntermediário",Mercado_Receita!$L$2:$L$300)+SUMIF(Mercado_Receita!$S$2:$S$300,"44440B1ConvencionalResidencialResidencial baixa renda – faixa 03Não se aplicaNão se aplicaNão se aplica",Mercado_Receita!$L$2:$L$300)</f>
        <v>7.3079999999999998</v>
      </c>
      <c r="J20" s="13">
        <f>SUMIF(Mercado_Receita!$S$2:$S$300,"44470B1ConvencionalResidencialResidencial baixa renda – faixa 03Não se aplicaNão se aplicaPonta",Mercado_Receita!$L$2:$L$300)+SUMIF(Mercado_Receita!$S$2:$S$300,"44470B1ConvencionalResidencialResidencial baixa renda – faixa 03Não se aplicaNão se aplicaFora ponta",Mercado_Receita!$L$2:$L$300)+SUMIF(Mercado_Receita!$S$2:$S$300,"44470B1ConvencionalResidencialResidencial baixa renda – faixa 03Não se aplicaNão se aplicaIntermediário",Mercado_Receita!$L$2:$L$300)+SUMIF(Mercado_Receita!$S$2:$S$300,"44470B1ConvencionalResidencialResidencial baixa renda – faixa 03Não se aplicaNão se aplicaNão se aplica",Mercado_Receita!$L$2:$L$300)</f>
        <v>5.2729999999999997</v>
      </c>
      <c r="K20" s="13">
        <f>SUMIF(Mercado_Receita!$S$2:$S$300,"44501B1ConvencionalResidencialResidencial baixa renda – faixa 03Não se aplicaNão se aplicaPonta",Mercado_Receita!$L$2:$L$300)+SUMIF(Mercado_Receita!$S$2:$S$300,"44501B1ConvencionalResidencialResidencial baixa renda – faixa 03Não se aplicaNão se aplicaFora ponta",Mercado_Receita!$L$2:$L$300)+SUMIF(Mercado_Receita!$S$2:$S$300,"44501B1ConvencionalResidencialResidencial baixa renda – faixa 03Não se aplicaNão se aplicaIntermediário",Mercado_Receita!$L$2:$L$300)+SUMIF(Mercado_Receita!$S$2:$S$300,"44501B1ConvencionalResidencialResidencial baixa renda – faixa 03Não se aplicaNão se aplicaNão se aplica",Mercado_Receita!$L$2:$L$300)</f>
        <v>5.4630000000000001</v>
      </c>
      <c r="L20" s="13">
        <f>SUMIF(Mercado_Receita!$S$2:$S$300,"44531B1ConvencionalResidencialResidencial baixa renda – faixa 03Não se aplicaNão se aplicaPonta",Mercado_Receita!$L$2:$L$300)+SUMIF(Mercado_Receita!$S$2:$S$300,"44531B1ConvencionalResidencialResidencial baixa renda – faixa 03Não se aplicaNão se aplicaFora ponta",Mercado_Receita!$L$2:$L$300)+SUMIF(Mercado_Receita!$S$2:$S$300,"44531B1ConvencionalResidencialResidencial baixa renda – faixa 03Não se aplicaNão se aplicaIntermediário",Mercado_Receita!$L$2:$L$300)+SUMIF(Mercado_Receita!$S$2:$S$300,"44531B1ConvencionalResidencialResidencial baixa renda – faixa 03Não se aplicaNão se aplicaNão se aplica",Mercado_Receita!$L$2:$L$300)</f>
        <v>6.6680000000000001</v>
      </c>
      <c r="M20" s="13">
        <f>SUMIF(Mercado_Receita!$S$2:$S$300,"44562B1ConvencionalResidencialResidencial baixa renda – faixa 03Não se aplicaNão se aplicaPonta",Mercado_Receita!$L$2:$L$300)+SUMIF(Mercado_Receita!$S$2:$S$300,"44562B1ConvencionalResidencialResidencial baixa renda – faixa 03Não se aplicaNão se aplicaFora ponta",Mercado_Receita!$L$2:$L$300)+SUMIF(Mercado_Receita!$S$2:$S$300,"44562B1ConvencionalResidencialResidencial baixa renda – faixa 03Não se aplicaNão se aplicaIntermediário",Mercado_Receita!$L$2:$L$300)+SUMIF(Mercado_Receita!$S$2:$S$300,"44562B1ConvencionalResidencialResidencial baixa renda – faixa 03Não se aplicaNão se aplicaNão se aplica",Mercado_Receita!$L$2:$L$300)</f>
        <v>7.4980000000000002</v>
      </c>
      <c r="N20" s="13">
        <f>SUMIF(Mercado_Receita!$S$2:$S$300,"44593B1ConvencionalResidencialResidencial baixa renda – faixa 03Não se aplicaNão se aplicaPonta",Mercado_Receita!$L$2:$L$300)+SUMIF(Mercado_Receita!$S$2:$S$300,"44593B1ConvencionalResidencialResidencial baixa renda – faixa 03Não se aplicaNão se aplicaFora ponta",Mercado_Receita!$L$2:$L$300)+SUMIF(Mercado_Receita!$S$2:$S$300,"44593B1ConvencionalResidencialResidencial baixa renda – faixa 03Não se aplicaNão se aplicaIntermediário",Mercado_Receita!$L$2:$L$300)+SUMIF(Mercado_Receita!$S$2:$S$300,"44593B1ConvencionalResidencialResidencial baixa renda – faixa 03Não se aplicaNão se aplicaNão se aplica",Mercado_Receita!$L$2:$L$300)</f>
        <v>7.2069999999999999</v>
      </c>
      <c r="O20" s="13">
        <f>SUMIF(Mercado_Receita!$S$2:$S$300,"44621B1ConvencionalResidencialResidencial baixa renda – faixa 03Não se aplicaNão se aplicaPonta",Mercado_Receita!$L$2:$L$300)+SUMIF(Mercado_Receita!$S$2:$S$300,"44621B1ConvencionalResidencialResidencial baixa renda – faixa 03Não se aplicaNão se aplicaFora ponta",Mercado_Receita!$L$2:$L$300)+SUMIF(Mercado_Receita!$S$2:$S$300,"44621B1ConvencionalResidencialResidencial baixa renda – faixa 03Não se aplicaNão se aplicaIntermediário",Mercado_Receita!$L$2:$L$300)+SUMIF(Mercado_Receita!$S$2:$S$300,"44621B1ConvencionalResidencialResidencial baixa renda – faixa 03Não se aplicaNão se aplicaNão se aplica",Mercado_Receita!$L$2:$L$300)</f>
        <v>7.8490000000000002</v>
      </c>
      <c r="P20" s="13">
        <f>SUMIF(Mercado_Receita!$S$2:$S$300,"44652B1ConvencionalResidencialResidencial baixa renda – faixa 03Não se aplicaNão se aplicaPonta",Mercado_Receita!$L$2:$L$300)+SUMIF(Mercado_Receita!$S$2:$S$300,"44652B1ConvencionalResidencialResidencial baixa renda – faixa 03Não se aplicaNão se aplicaFora ponta",Mercado_Receita!$L$2:$L$300)+SUMIF(Mercado_Receita!$S$2:$S$300,"44652B1ConvencionalResidencialResidencial baixa renda – faixa 03Não se aplicaNão se aplicaIntermediário",Mercado_Receita!$L$2:$L$300)+SUMIF(Mercado_Receita!$S$2:$S$300,"44652B1ConvencionalResidencialResidencial baixa renda – faixa 03Não se aplicaNão se aplicaNão se aplica",Mercado_Receita!$L$2:$L$300)</f>
        <v>7.9470000000000001</v>
      </c>
      <c r="Q20" s="13">
        <f>SUMIF(Mercado_Receita!$S$2:$S$300,"44682B1ConvencionalResidencialResidencial baixa renda – faixa 03Não se aplicaNão se aplicaPonta",Mercado_Receita!$L$2:$L$300)+SUMIF(Mercado_Receita!$S$2:$S$300,"44682B1ConvencionalResidencialResidencial baixa renda – faixa 03Não se aplicaNão se aplicaFora ponta",Mercado_Receita!$L$2:$L$300)+SUMIF(Mercado_Receita!$S$2:$S$300,"44682B1ConvencionalResidencialResidencial baixa renda – faixa 03Não se aplicaNão se aplicaIntermediário",Mercado_Receita!$L$2:$L$300)+SUMIF(Mercado_Receita!$S$2:$S$300,"44682B1ConvencionalResidencialResidencial baixa renda – faixa 03Não se aplicaNão se aplicaNão se aplica",Mercado_Receita!$L$2:$L$300)</f>
        <v>6.3929999999999998</v>
      </c>
      <c r="R20" s="13">
        <f>SUMIF(Mercado_Receita!$S$2:$S$300,"44713B1ConvencionalResidencialResidencial baixa renda – faixa 03Não se aplicaNão se aplicaPonta",Mercado_Receita!$L$2:$L$300)+SUMIF(Mercado_Receita!$S$2:$S$300,"44713B1ConvencionalResidencialResidencial baixa renda – faixa 03Não se aplicaNão se aplicaFora ponta",Mercado_Receita!$L$2:$L$300)+SUMIF(Mercado_Receita!$S$2:$S$300,"44713B1ConvencionalResidencialResidencial baixa renda – faixa 03Não se aplicaNão se aplicaIntermediário",Mercado_Receita!$L$2:$L$300)+SUMIF(Mercado_Receita!$S$2:$S$300,"44713B1ConvencionalResidencialResidencial baixa renda – faixa 03Não se aplicaNão se aplicaNão se aplica",Mercado_Receita!$L$2:$L$300)</f>
        <v>8.222999999999999</v>
      </c>
      <c r="S20" s="13">
        <f>SUMIF(Mercado_Receita!$S$2:$S$300,"44743B1ConvencionalResidencialResidencial baixa renda – faixa 03Não se aplicaNão se aplicaPonta",Mercado_Receita!$L$2:$L$300)+SUMIF(Mercado_Receita!$S$2:$S$300,"44743B1ConvencionalResidencialResidencial baixa renda – faixa 03Não se aplicaNão se aplicaFora ponta",Mercado_Receita!$L$2:$L$300)+SUMIF(Mercado_Receita!$S$2:$S$300,"44743B1ConvencionalResidencialResidencial baixa renda – faixa 03Não se aplicaNão se aplicaIntermediário",Mercado_Receita!$L$2:$L$300)+SUMIF(Mercado_Receita!$S$2:$S$300,"44743B1ConvencionalResidencialResidencial baixa renda – faixa 03Não se aplicaNão se aplicaNão se aplica",Mercado_Receita!$L$2:$L$300)</f>
        <v>7.3650000000000002</v>
      </c>
      <c r="T20" s="13">
        <f>SUMIF(Mercado_Receita!$S$2:$S$300,"44774B1ConvencionalResidencialResidencial baixa renda – faixa 03Não se aplicaNão se aplicaPonta",Mercado_Receita!$L$2:$L$300)+SUMIF(Mercado_Receita!$S$2:$S$300,"44774B1ConvencionalResidencialResidencial baixa renda – faixa 03Não se aplicaNão se aplicaFora ponta",Mercado_Receita!$L$2:$L$300)+SUMIF(Mercado_Receita!$S$2:$S$300,"44774B1ConvencionalResidencialResidencial baixa renda – faixa 03Não se aplicaNão se aplicaIntermediário",Mercado_Receita!$L$2:$L$300)+SUMIF(Mercado_Receita!$S$2:$S$300,"44774B1ConvencionalResidencialResidencial baixa renda – faixa 03Não se aplicaNão se aplicaNão se aplica",Mercado_Receita!$L$2:$L$300)</f>
        <v>7.2119999999999997</v>
      </c>
      <c r="U20" s="13">
        <f t="shared" si="0"/>
        <v>84.406000000000006</v>
      </c>
      <c r="V20" s="13"/>
      <c r="W20" s="13"/>
    </row>
    <row r="21" spans="1:23" ht="11.25" customHeight="1" x14ac:dyDescent="0.3">
      <c r="A21" s="82"/>
      <c r="B21" s="82"/>
      <c r="C21" s="82"/>
      <c r="D21" s="12" t="s">
        <v>32</v>
      </c>
      <c r="E21" s="12" t="s">
        <v>25</v>
      </c>
      <c r="F21" s="12" t="s">
        <v>25</v>
      </c>
      <c r="G21" s="13" t="s">
        <v>72</v>
      </c>
      <c r="H21" s="13" t="s">
        <v>68</v>
      </c>
      <c r="I21" s="13">
        <f>SUMIF(Mercado_Receita!$S$2:$S$300,"44440B1ConvencionalResidencialResidencial baixa renda – faixa 04Não se aplicaNão se aplicaPonta",Mercado_Receita!$L$2:$L$300)+SUMIF(Mercado_Receita!$S$2:$S$300,"44440B1ConvencionalResidencialResidencial baixa renda – faixa 04Não se aplicaNão se aplicaFora ponta",Mercado_Receita!$L$2:$L$300)+SUMIF(Mercado_Receita!$S$2:$S$300,"44440B1ConvencionalResidencialResidencial baixa renda – faixa 04Não se aplicaNão se aplicaIntermediário",Mercado_Receita!$L$2:$L$300)+SUMIF(Mercado_Receita!$S$2:$S$300,"44440B1ConvencionalResidencialResidencial baixa renda – faixa 04Não se aplicaNão se aplicaNão se aplica",Mercado_Receita!$L$2:$L$300)</f>
        <v>0.19500000000000001</v>
      </c>
      <c r="J21" s="13">
        <f>SUMIF(Mercado_Receita!$S$2:$S$300,"44470B1ConvencionalResidencialResidencial baixa renda – faixa 04Não se aplicaNão se aplicaPonta",Mercado_Receita!$L$2:$L$300)+SUMIF(Mercado_Receita!$S$2:$S$300,"44470B1ConvencionalResidencialResidencial baixa renda – faixa 04Não se aplicaNão se aplicaFora ponta",Mercado_Receita!$L$2:$L$300)+SUMIF(Mercado_Receita!$S$2:$S$300,"44470B1ConvencionalResidencialResidencial baixa renda – faixa 04Não se aplicaNão se aplicaIntermediário",Mercado_Receita!$L$2:$L$300)+SUMIF(Mercado_Receita!$S$2:$S$300,"44470B1ConvencionalResidencialResidencial baixa renda – faixa 04Não se aplicaNão se aplicaNão se aplica",Mercado_Receita!$L$2:$L$300)</f>
        <v>0.91399999999999992</v>
      </c>
      <c r="K21" s="13">
        <f>SUMIF(Mercado_Receita!$S$2:$S$300,"44501B1ConvencionalResidencialResidencial baixa renda – faixa 04Não se aplicaNão se aplicaPonta",Mercado_Receita!$L$2:$L$300)+SUMIF(Mercado_Receita!$S$2:$S$300,"44501B1ConvencionalResidencialResidencial baixa renda – faixa 04Não se aplicaNão se aplicaFora ponta",Mercado_Receita!$L$2:$L$300)+SUMIF(Mercado_Receita!$S$2:$S$300,"44501B1ConvencionalResidencialResidencial baixa renda – faixa 04Não se aplicaNão se aplicaIntermediário",Mercado_Receita!$L$2:$L$300)+SUMIF(Mercado_Receita!$S$2:$S$300,"44501B1ConvencionalResidencialResidencial baixa renda – faixa 04Não se aplicaNão se aplicaNão se aplica",Mercado_Receita!$L$2:$L$300)</f>
        <v>1.03</v>
      </c>
      <c r="L21" s="13">
        <f>SUMIF(Mercado_Receita!$S$2:$S$300,"44531B1ConvencionalResidencialResidencial baixa renda – faixa 04Não se aplicaNão se aplicaPonta",Mercado_Receita!$L$2:$L$300)+SUMIF(Mercado_Receita!$S$2:$S$300,"44531B1ConvencionalResidencialResidencial baixa renda – faixa 04Não se aplicaNão se aplicaFora ponta",Mercado_Receita!$L$2:$L$300)+SUMIF(Mercado_Receita!$S$2:$S$300,"44531B1ConvencionalResidencialResidencial baixa renda – faixa 04Não se aplicaNão se aplicaIntermediário",Mercado_Receita!$L$2:$L$300)+SUMIF(Mercado_Receita!$S$2:$S$300,"44531B1ConvencionalResidencialResidencial baixa renda – faixa 04Não se aplicaNão se aplicaNão se aplica",Mercado_Receita!$L$2:$L$300)</f>
        <v>1.5940000000000001</v>
      </c>
      <c r="M21" s="13">
        <f>SUMIF(Mercado_Receita!$S$2:$S$300,"44562B1ConvencionalResidencialResidencial baixa renda – faixa 04Não se aplicaNão se aplicaPonta",Mercado_Receita!$L$2:$L$300)+SUMIF(Mercado_Receita!$S$2:$S$300,"44562B1ConvencionalResidencialResidencial baixa renda – faixa 04Não se aplicaNão se aplicaFora ponta",Mercado_Receita!$L$2:$L$300)+SUMIF(Mercado_Receita!$S$2:$S$300,"44562B1ConvencionalResidencialResidencial baixa renda – faixa 04Não se aplicaNão se aplicaIntermediário",Mercado_Receita!$L$2:$L$300)+SUMIF(Mercado_Receita!$S$2:$S$300,"44562B1ConvencionalResidencialResidencial baixa renda – faixa 04Não se aplicaNão se aplicaNão se aplica",Mercado_Receita!$L$2:$L$300)</f>
        <v>2.44</v>
      </c>
      <c r="N21" s="13">
        <f>SUMIF(Mercado_Receita!$S$2:$S$300,"44593B1ConvencionalResidencialResidencial baixa renda – faixa 04Não se aplicaNão se aplicaPonta",Mercado_Receita!$L$2:$L$300)+SUMIF(Mercado_Receita!$S$2:$S$300,"44593B1ConvencionalResidencialResidencial baixa renda – faixa 04Não se aplicaNão se aplicaFora ponta",Mercado_Receita!$L$2:$L$300)+SUMIF(Mercado_Receita!$S$2:$S$300,"44593B1ConvencionalResidencialResidencial baixa renda – faixa 04Não se aplicaNão se aplicaIntermediário",Mercado_Receita!$L$2:$L$300)+SUMIF(Mercado_Receita!$S$2:$S$300,"44593B1ConvencionalResidencialResidencial baixa renda – faixa 04Não se aplicaNão se aplicaNão se aplica",Mercado_Receita!$L$2:$L$300)</f>
        <v>2.125</v>
      </c>
      <c r="O21" s="13">
        <f>SUMIF(Mercado_Receita!$S$2:$S$300,"44621B1ConvencionalResidencialResidencial baixa renda – faixa 04Não se aplicaNão se aplicaPonta",Mercado_Receita!$L$2:$L$300)+SUMIF(Mercado_Receita!$S$2:$S$300,"44621B1ConvencionalResidencialResidencial baixa renda – faixa 04Não se aplicaNão se aplicaFora ponta",Mercado_Receita!$L$2:$L$300)+SUMIF(Mercado_Receita!$S$2:$S$300,"44621B1ConvencionalResidencialResidencial baixa renda – faixa 04Não se aplicaNão se aplicaIntermediário",Mercado_Receita!$L$2:$L$300)+SUMIF(Mercado_Receita!$S$2:$S$300,"44621B1ConvencionalResidencialResidencial baixa renda – faixa 04Não se aplicaNão se aplicaNão se aplica",Mercado_Receita!$L$2:$L$300)</f>
        <v>2.6110000000000002</v>
      </c>
      <c r="P21" s="13">
        <f>SUMIF(Mercado_Receita!$S$2:$S$300,"44652B1ConvencionalResidencialResidencial baixa renda – faixa 04Não se aplicaNão se aplicaPonta",Mercado_Receita!$L$2:$L$300)+SUMIF(Mercado_Receita!$S$2:$S$300,"44652B1ConvencionalResidencialResidencial baixa renda – faixa 04Não se aplicaNão se aplicaFora ponta",Mercado_Receita!$L$2:$L$300)+SUMIF(Mercado_Receita!$S$2:$S$300,"44652B1ConvencionalResidencialResidencial baixa renda – faixa 04Não se aplicaNão se aplicaIntermediário",Mercado_Receita!$L$2:$L$300)+SUMIF(Mercado_Receita!$S$2:$S$300,"44652B1ConvencionalResidencialResidencial baixa renda – faixa 04Não se aplicaNão se aplicaNão se aplica",Mercado_Receita!$L$2:$L$300)</f>
        <v>2.0590000000000002</v>
      </c>
      <c r="Q21" s="13">
        <f>SUMIF(Mercado_Receita!$S$2:$S$300,"44682B1ConvencionalResidencialResidencial baixa renda – faixa 04Não se aplicaNão se aplicaPonta",Mercado_Receita!$L$2:$L$300)+SUMIF(Mercado_Receita!$S$2:$S$300,"44682B1ConvencionalResidencialResidencial baixa renda – faixa 04Não se aplicaNão se aplicaFora ponta",Mercado_Receita!$L$2:$L$300)+SUMIF(Mercado_Receita!$S$2:$S$300,"44682B1ConvencionalResidencialResidencial baixa renda – faixa 04Não se aplicaNão se aplicaIntermediário",Mercado_Receita!$L$2:$L$300)+SUMIF(Mercado_Receita!$S$2:$S$300,"44682B1ConvencionalResidencialResidencial baixa renda – faixa 04Não se aplicaNão se aplicaNão se aplica",Mercado_Receita!$L$2:$L$300)</f>
        <v>1.4379999999999999</v>
      </c>
      <c r="R21" s="13">
        <f>SUMIF(Mercado_Receita!$S$2:$S$300,"44713B1ConvencionalResidencialResidencial baixa renda – faixa 04Não se aplicaNão se aplicaPonta",Mercado_Receita!$L$2:$L$300)+SUMIF(Mercado_Receita!$S$2:$S$300,"44713B1ConvencionalResidencialResidencial baixa renda – faixa 04Não se aplicaNão se aplicaFora ponta",Mercado_Receita!$L$2:$L$300)+SUMIF(Mercado_Receita!$S$2:$S$300,"44713B1ConvencionalResidencialResidencial baixa renda – faixa 04Não se aplicaNão se aplicaIntermediário",Mercado_Receita!$L$2:$L$300)+SUMIF(Mercado_Receita!$S$2:$S$300,"44713B1ConvencionalResidencialResidencial baixa renda – faixa 04Não se aplicaNão se aplicaNão se aplica",Mercado_Receita!$L$2:$L$300)</f>
        <v>2.2229999999999999</v>
      </c>
      <c r="S21" s="13">
        <f>SUMIF(Mercado_Receita!$S$2:$S$300,"44743B1ConvencionalResidencialResidencial baixa renda – faixa 04Não se aplicaNão se aplicaPonta",Mercado_Receita!$L$2:$L$300)+SUMIF(Mercado_Receita!$S$2:$S$300,"44743B1ConvencionalResidencialResidencial baixa renda – faixa 04Não se aplicaNão se aplicaFora ponta",Mercado_Receita!$L$2:$L$300)+SUMIF(Mercado_Receita!$S$2:$S$300,"44743B1ConvencionalResidencialResidencial baixa renda – faixa 04Não se aplicaNão se aplicaIntermediário",Mercado_Receita!$L$2:$L$300)+SUMIF(Mercado_Receita!$S$2:$S$300,"44743B1ConvencionalResidencialResidencial baixa renda – faixa 04Não se aplicaNão se aplicaNão se aplica",Mercado_Receita!$L$2:$L$300)</f>
        <v>1.2589999999999999</v>
      </c>
      <c r="T21" s="13">
        <f>SUMIF(Mercado_Receita!$S$2:$S$300,"44774B1ConvencionalResidencialResidencial baixa renda – faixa 04Não se aplicaNão se aplicaPonta",Mercado_Receita!$L$2:$L$300)+SUMIF(Mercado_Receita!$S$2:$S$300,"44774B1ConvencionalResidencialResidencial baixa renda – faixa 04Não se aplicaNão se aplicaFora ponta",Mercado_Receita!$L$2:$L$300)+SUMIF(Mercado_Receita!$S$2:$S$300,"44774B1ConvencionalResidencialResidencial baixa renda – faixa 04Não se aplicaNão se aplicaIntermediário",Mercado_Receita!$L$2:$L$300)+SUMIF(Mercado_Receita!$S$2:$S$300,"44774B1ConvencionalResidencialResidencial baixa renda – faixa 04Não se aplicaNão se aplicaNão se aplica",Mercado_Receita!$L$2:$L$300)</f>
        <v>1.1619999999999999</v>
      </c>
      <c r="U21" s="13">
        <f t="shared" si="0"/>
        <v>19.05</v>
      </c>
      <c r="V21" s="13"/>
      <c r="W21" s="13"/>
    </row>
    <row r="22" spans="1:23" ht="11.25" customHeight="1" x14ac:dyDescent="0.3">
      <c r="A22" s="82"/>
      <c r="B22" s="81" t="s">
        <v>84</v>
      </c>
      <c r="C22" s="81" t="s">
        <v>24</v>
      </c>
      <c r="D22" s="12" t="s">
        <v>24</v>
      </c>
      <c r="E22" s="12" t="s">
        <v>25</v>
      </c>
      <c r="F22" s="12" t="s">
        <v>25</v>
      </c>
      <c r="G22" s="13" t="s">
        <v>72</v>
      </c>
      <c r="H22" s="13" t="s">
        <v>68</v>
      </c>
      <c r="I22" s="13">
        <f>SUMIF(Mercado_Receita!$S$2:$S$300,"44440B1Convencional pré-pagamentoResidencialResidencialNão se aplicaNão se aplicaPonta",Mercado_Receita!$L$2:$L$300)+SUMIF(Mercado_Receita!$S$2:$S$300,"44440B1Convencional pré-pagamentoResidencialResidencialNão se aplicaNão se aplicaFora ponta",Mercado_Receita!$L$2:$L$300)+SUMIF(Mercado_Receita!$S$2:$S$300,"44440B1Convencional pré-pagamentoResidencialResidencialNão se aplicaNão se aplicaIntermediário",Mercado_Receita!$L$2:$L$300)+SUMIF(Mercado_Receita!$S$2:$S$300,"44440B1Convencional pré-pagamentoResidencialResidencialNão se aplicaNão se aplicaNão se aplica",Mercado_Receita!$L$2:$L$300)</f>
        <v>0</v>
      </c>
      <c r="J22" s="13">
        <f>SUMIF(Mercado_Receita!$S$2:$S$300,"44470B1Convencional pré-pagamentoResidencialResidencialNão se aplicaNão se aplicaPonta",Mercado_Receita!$L$2:$L$300)+SUMIF(Mercado_Receita!$S$2:$S$300,"44470B1Convencional pré-pagamentoResidencialResidencialNão se aplicaNão se aplicaFora ponta",Mercado_Receita!$L$2:$L$300)+SUMIF(Mercado_Receita!$S$2:$S$300,"44470B1Convencional pré-pagamentoResidencialResidencialNão se aplicaNão se aplicaIntermediário",Mercado_Receita!$L$2:$L$300)+SUMIF(Mercado_Receita!$S$2:$S$300,"44470B1Convencional pré-pagamentoResidencialResidencialNão se aplicaNão se aplicaNão se aplica",Mercado_Receita!$L$2:$L$300)</f>
        <v>0</v>
      </c>
      <c r="K22" s="13">
        <f>SUMIF(Mercado_Receita!$S$2:$S$300,"44501B1Convencional pré-pagamentoResidencialResidencialNão se aplicaNão se aplicaPonta",Mercado_Receita!$L$2:$L$300)+SUMIF(Mercado_Receita!$S$2:$S$300,"44501B1Convencional pré-pagamentoResidencialResidencialNão se aplicaNão se aplicaFora ponta",Mercado_Receita!$L$2:$L$300)+SUMIF(Mercado_Receita!$S$2:$S$300,"44501B1Convencional pré-pagamentoResidencialResidencialNão se aplicaNão se aplicaIntermediário",Mercado_Receita!$L$2:$L$300)+SUMIF(Mercado_Receita!$S$2:$S$300,"44501B1Convencional pré-pagamentoResidencialResidencialNão se aplicaNão se aplicaNão se aplica",Mercado_Receita!$L$2:$L$300)</f>
        <v>0</v>
      </c>
      <c r="L22" s="13">
        <f>SUMIF(Mercado_Receita!$S$2:$S$300,"44531B1Convencional pré-pagamentoResidencialResidencialNão se aplicaNão se aplicaPonta",Mercado_Receita!$L$2:$L$300)+SUMIF(Mercado_Receita!$S$2:$S$300,"44531B1Convencional pré-pagamentoResidencialResidencialNão se aplicaNão se aplicaFora ponta",Mercado_Receita!$L$2:$L$300)+SUMIF(Mercado_Receita!$S$2:$S$300,"44531B1Convencional pré-pagamentoResidencialResidencialNão se aplicaNão se aplicaIntermediário",Mercado_Receita!$L$2:$L$300)+SUMIF(Mercado_Receita!$S$2:$S$300,"44531B1Convencional pré-pagamentoResidencialResidencialNão se aplicaNão se aplicaNão se aplica",Mercado_Receita!$L$2:$L$300)</f>
        <v>0</v>
      </c>
      <c r="M22" s="13">
        <f>SUMIF(Mercado_Receita!$S$2:$S$300,"44562B1Convencional pré-pagamentoResidencialResidencialNão se aplicaNão se aplicaPonta",Mercado_Receita!$L$2:$L$300)+SUMIF(Mercado_Receita!$S$2:$S$300,"44562B1Convencional pré-pagamentoResidencialResidencialNão se aplicaNão se aplicaFora ponta",Mercado_Receita!$L$2:$L$300)+SUMIF(Mercado_Receita!$S$2:$S$300,"44562B1Convencional pré-pagamentoResidencialResidencialNão se aplicaNão se aplicaIntermediário",Mercado_Receita!$L$2:$L$300)+SUMIF(Mercado_Receita!$S$2:$S$300,"44562B1Convencional pré-pagamentoResidencialResidencialNão se aplicaNão se aplicaNão se aplica",Mercado_Receita!$L$2:$L$300)</f>
        <v>0</v>
      </c>
      <c r="N22" s="13">
        <f>SUMIF(Mercado_Receita!$S$2:$S$300,"44593B1Convencional pré-pagamentoResidencialResidencialNão se aplicaNão se aplicaPonta",Mercado_Receita!$L$2:$L$300)+SUMIF(Mercado_Receita!$S$2:$S$300,"44593B1Convencional pré-pagamentoResidencialResidencialNão se aplicaNão se aplicaFora ponta",Mercado_Receita!$L$2:$L$300)+SUMIF(Mercado_Receita!$S$2:$S$300,"44593B1Convencional pré-pagamentoResidencialResidencialNão se aplicaNão se aplicaIntermediário",Mercado_Receita!$L$2:$L$300)+SUMIF(Mercado_Receita!$S$2:$S$300,"44593B1Convencional pré-pagamentoResidencialResidencialNão se aplicaNão se aplicaNão se aplica",Mercado_Receita!$L$2:$L$300)</f>
        <v>0</v>
      </c>
      <c r="O22" s="13">
        <f>SUMIF(Mercado_Receita!$S$2:$S$300,"44621B1Convencional pré-pagamentoResidencialResidencialNão se aplicaNão se aplicaPonta",Mercado_Receita!$L$2:$L$300)+SUMIF(Mercado_Receita!$S$2:$S$300,"44621B1Convencional pré-pagamentoResidencialResidencialNão se aplicaNão se aplicaFora ponta",Mercado_Receita!$L$2:$L$300)+SUMIF(Mercado_Receita!$S$2:$S$300,"44621B1Convencional pré-pagamentoResidencialResidencialNão se aplicaNão se aplicaIntermediário",Mercado_Receita!$L$2:$L$300)+SUMIF(Mercado_Receita!$S$2:$S$300,"44621B1Convencional pré-pagamentoResidencialResidencialNão se aplicaNão se aplicaNão se aplica",Mercado_Receita!$L$2:$L$300)</f>
        <v>0</v>
      </c>
      <c r="P22" s="13">
        <f>SUMIF(Mercado_Receita!$S$2:$S$300,"44652B1Convencional pré-pagamentoResidencialResidencialNão se aplicaNão se aplicaPonta",Mercado_Receita!$L$2:$L$300)+SUMIF(Mercado_Receita!$S$2:$S$300,"44652B1Convencional pré-pagamentoResidencialResidencialNão se aplicaNão se aplicaFora ponta",Mercado_Receita!$L$2:$L$300)+SUMIF(Mercado_Receita!$S$2:$S$300,"44652B1Convencional pré-pagamentoResidencialResidencialNão se aplicaNão se aplicaIntermediário",Mercado_Receita!$L$2:$L$300)+SUMIF(Mercado_Receita!$S$2:$S$300,"44652B1Convencional pré-pagamentoResidencialResidencialNão se aplicaNão se aplicaNão se aplica",Mercado_Receita!$L$2:$L$300)</f>
        <v>0</v>
      </c>
      <c r="Q22" s="13">
        <f>SUMIF(Mercado_Receita!$S$2:$S$300,"44682B1Convencional pré-pagamentoResidencialResidencialNão se aplicaNão se aplicaPonta",Mercado_Receita!$L$2:$L$300)+SUMIF(Mercado_Receita!$S$2:$S$300,"44682B1Convencional pré-pagamentoResidencialResidencialNão se aplicaNão se aplicaFora ponta",Mercado_Receita!$L$2:$L$300)+SUMIF(Mercado_Receita!$S$2:$S$300,"44682B1Convencional pré-pagamentoResidencialResidencialNão se aplicaNão se aplicaIntermediário",Mercado_Receita!$L$2:$L$300)+SUMIF(Mercado_Receita!$S$2:$S$300,"44682B1Convencional pré-pagamentoResidencialResidencialNão se aplicaNão se aplicaNão se aplica",Mercado_Receita!$L$2:$L$300)</f>
        <v>0</v>
      </c>
      <c r="R22" s="13">
        <f>SUMIF(Mercado_Receita!$S$2:$S$300,"44713B1Convencional pré-pagamentoResidencialResidencialNão se aplicaNão se aplicaPonta",Mercado_Receita!$L$2:$L$300)+SUMIF(Mercado_Receita!$S$2:$S$300,"44713B1Convencional pré-pagamentoResidencialResidencialNão se aplicaNão se aplicaFora ponta",Mercado_Receita!$L$2:$L$300)+SUMIF(Mercado_Receita!$S$2:$S$300,"44713B1Convencional pré-pagamentoResidencialResidencialNão se aplicaNão se aplicaIntermediário",Mercado_Receita!$L$2:$L$300)+SUMIF(Mercado_Receita!$S$2:$S$300,"44713B1Convencional pré-pagamentoResidencialResidencialNão se aplicaNão se aplicaNão se aplica",Mercado_Receita!$L$2:$L$300)</f>
        <v>0</v>
      </c>
      <c r="S22" s="13">
        <f>SUMIF(Mercado_Receita!$S$2:$S$300,"44743B1Convencional pré-pagamentoResidencialResidencialNão se aplicaNão se aplicaPonta",Mercado_Receita!$L$2:$L$300)+SUMIF(Mercado_Receita!$S$2:$S$300,"44743B1Convencional pré-pagamentoResidencialResidencialNão se aplicaNão se aplicaFora ponta",Mercado_Receita!$L$2:$L$300)+SUMIF(Mercado_Receita!$S$2:$S$300,"44743B1Convencional pré-pagamentoResidencialResidencialNão se aplicaNão se aplicaIntermediário",Mercado_Receita!$L$2:$L$300)+SUMIF(Mercado_Receita!$S$2:$S$300,"44743B1Convencional pré-pagamentoResidencialResidencialNão se aplicaNão se aplicaNão se aplica",Mercado_Receita!$L$2:$L$300)</f>
        <v>0</v>
      </c>
      <c r="T22" s="13">
        <f>SUMIF(Mercado_Receita!$S$2:$S$300,"44774B1Convencional pré-pagamentoResidencialResidencialNão se aplicaNão se aplicaPonta",Mercado_Receita!$L$2:$L$300)+SUMIF(Mercado_Receita!$S$2:$S$300,"44774B1Convencional pré-pagamentoResidencialResidencialNão se aplicaNão se aplicaFora ponta",Mercado_Receita!$L$2:$L$300)+SUMIF(Mercado_Receita!$S$2:$S$300,"44774B1Convencional pré-pagamentoResidencialResidencialNão se aplicaNão se aplicaIntermediário",Mercado_Receita!$L$2:$L$300)+SUMIF(Mercado_Receita!$S$2:$S$300,"44774B1Convencional pré-pagamentoResidencialResidencialNão se aplicaNão se aplicaNão se aplica",Mercado_Receita!$L$2:$L$300)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82"/>
      <c r="B23" s="82"/>
      <c r="C23" s="82"/>
      <c r="D23" s="12" t="s">
        <v>29</v>
      </c>
      <c r="E23" s="12" t="s">
        <v>25</v>
      </c>
      <c r="F23" s="12" t="s">
        <v>25</v>
      </c>
      <c r="G23" s="13" t="s">
        <v>72</v>
      </c>
      <c r="H23" s="13" t="s">
        <v>68</v>
      </c>
      <c r="I23" s="13">
        <f>SUMIF(Mercado_Receita!$S$2:$S$300,"44440B1Convencional pré-pagamentoResidencialResidencial baixa renda – faixa 01Não se aplicaNão se aplicaPonta",Mercado_Receita!$L$2:$L$300)+SUMIF(Mercado_Receita!$S$2:$S$300,"44440B1Convencional pré-pagamentoResidencialResidencial baixa renda – faixa 01Não se aplicaNão se aplicaFora ponta",Mercado_Receita!$L$2:$L$300)+SUMIF(Mercado_Receita!$S$2:$S$300,"44440B1Convencional pré-pagamentoResidencialResidencial baixa renda – faixa 01Não se aplicaNão se aplicaIntermediário",Mercado_Receita!$L$2:$L$300)+SUMIF(Mercado_Receita!$S$2:$S$300,"44440B1Convencional pré-pagamentoResidencialResidencial baixa renda – faixa 01Não se aplicaNão se aplicaNão se aplica",Mercado_Receita!$L$2:$L$300)</f>
        <v>0</v>
      </c>
      <c r="J23" s="13">
        <f>SUMIF(Mercado_Receita!$S$2:$S$300,"44470B1Convencional pré-pagamentoResidencialResidencial baixa renda – faixa 01Não se aplicaNão se aplicaPonta",Mercado_Receita!$L$2:$L$300)+SUMIF(Mercado_Receita!$S$2:$S$300,"44470B1Convencional pré-pagamentoResidencialResidencial baixa renda – faixa 01Não se aplicaNão se aplicaFora ponta",Mercado_Receita!$L$2:$L$300)+SUMIF(Mercado_Receita!$S$2:$S$300,"44470B1Convencional pré-pagamentoResidencialResidencial baixa renda – faixa 01Não se aplicaNão se aplicaIntermediário",Mercado_Receita!$L$2:$L$300)+SUMIF(Mercado_Receita!$S$2:$S$300,"44470B1Convencional pré-pagamentoResidencialResidencial baixa renda – faixa 01Não se aplicaNão se aplicaNão se aplica",Mercado_Receita!$L$2:$L$300)</f>
        <v>0</v>
      </c>
      <c r="K23" s="13">
        <f>SUMIF(Mercado_Receita!$S$2:$S$300,"44501B1Convencional pré-pagamentoResidencialResidencial baixa renda – faixa 01Não se aplicaNão se aplicaPonta",Mercado_Receita!$L$2:$L$300)+SUMIF(Mercado_Receita!$S$2:$S$300,"44501B1Convencional pré-pagamentoResidencialResidencial baixa renda – faixa 01Não se aplicaNão se aplicaFora ponta",Mercado_Receita!$L$2:$L$300)+SUMIF(Mercado_Receita!$S$2:$S$300,"44501B1Convencional pré-pagamentoResidencialResidencial baixa renda – faixa 01Não se aplicaNão se aplicaIntermediário",Mercado_Receita!$L$2:$L$300)+SUMIF(Mercado_Receita!$S$2:$S$300,"44501B1Convencional pré-pagamentoResidencialResidencial baixa renda – faixa 01Não se aplicaNão se aplicaNão se aplica",Mercado_Receita!$L$2:$L$300)</f>
        <v>0</v>
      </c>
      <c r="L23" s="13">
        <f>SUMIF(Mercado_Receita!$S$2:$S$300,"44531B1Convencional pré-pagamentoResidencialResidencial baixa renda – faixa 01Não se aplicaNão se aplicaPonta",Mercado_Receita!$L$2:$L$300)+SUMIF(Mercado_Receita!$S$2:$S$300,"44531B1Convencional pré-pagamentoResidencialResidencial baixa renda – faixa 01Não se aplicaNão se aplicaFora ponta",Mercado_Receita!$L$2:$L$300)+SUMIF(Mercado_Receita!$S$2:$S$300,"44531B1Convencional pré-pagamentoResidencialResidencial baixa renda – faixa 01Não se aplicaNão se aplicaIntermediário",Mercado_Receita!$L$2:$L$300)+SUMIF(Mercado_Receita!$S$2:$S$300,"44531B1Convencional pré-pagamentoResidencialResidencial baixa renda – faixa 01Não se aplicaNão se aplicaNão se aplica",Mercado_Receita!$L$2:$L$300)</f>
        <v>0</v>
      </c>
      <c r="M23" s="13">
        <f>SUMIF(Mercado_Receita!$S$2:$S$300,"44562B1Convencional pré-pagamentoResidencialResidencial baixa renda – faixa 01Não se aplicaNão se aplicaPonta",Mercado_Receita!$L$2:$L$300)+SUMIF(Mercado_Receita!$S$2:$S$300,"44562B1Convencional pré-pagamentoResidencialResidencial baixa renda – faixa 01Não se aplicaNão se aplicaFora ponta",Mercado_Receita!$L$2:$L$300)+SUMIF(Mercado_Receita!$S$2:$S$300,"44562B1Convencional pré-pagamentoResidencialResidencial baixa renda – faixa 01Não se aplicaNão se aplicaIntermediário",Mercado_Receita!$L$2:$L$300)+SUMIF(Mercado_Receita!$S$2:$S$300,"44562B1Convencional pré-pagamentoResidencialResidencial baixa renda – faixa 01Não se aplicaNão se aplicaNão se aplica",Mercado_Receita!$L$2:$L$300)</f>
        <v>0</v>
      </c>
      <c r="N23" s="13">
        <f>SUMIF(Mercado_Receita!$S$2:$S$300,"44593B1Convencional pré-pagamentoResidencialResidencial baixa renda – faixa 01Não se aplicaNão se aplicaPonta",Mercado_Receita!$L$2:$L$300)+SUMIF(Mercado_Receita!$S$2:$S$300,"44593B1Convencional pré-pagamentoResidencialResidencial baixa renda – faixa 01Não se aplicaNão se aplicaFora ponta",Mercado_Receita!$L$2:$L$300)+SUMIF(Mercado_Receita!$S$2:$S$300,"44593B1Convencional pré-pagamentoResidencialResidencial baixa renda – faixa 01Não se aplicaNão se aplicaIntermediário",Mercado_Receita!$L$2:$L$300)+SUMIF(Mercado_Receita!$S$2:$S$300,"44593B1Convencional pré-pagamentoResidencialResidencial baixa renda – faixa 01Não se aplicaNão se aplicaNão se aplica",Mercado_Receita!$L$2:$L$300)</f>
        <v>0</v>
      </c>
      <c r="O23" s="13">
        <f>SUMIF(Mercado_Receita!$S$2:$S$300,"44621B1Convencional pré-pagamentoResidencialResidencial baixa renda – faixa 01Não se aplicaNão se aplicaPonta",Mercado_Receita!$L$2:$L$300)+SUMIF(Mercado_Receita!$S$2:$S$300,"44621B1Convencional pré-pagamentoResidencialResidencial baixa renda – faixa 01Não se aplicaNão se aplicaFora ponta",Mercado_Receita!$L$2:$L$300)+SUMIF(Mercado_Receita!$S$2:$S$300,"44621B1Convencional pré-pagamentoResidencialResidencial baixa renda – faixa 01Não se aplicaNão se aplicaIntermediário",Mercado_Receita!$L$2:$L$300)+SUMIF(Mercado_Receita!$S$2:$S$300,"44621B1Convencional pré-pagamentoResidencialResidencial baixa renda – faixa 01Não se aplicaNão se aplicaNão se aplica",Mercado_Receita!$L$2:$L$300)</f>
        <v>0</v>
      </c>
      <c r="P23" s="13">
        <f>SUMIF(Mercado_Receita!$S$2:$S$300,"44652B1Convencional pré-pagamentoResidencialResidencial baixa renda – faixa 01Não se aplicaNão se aplicaPonta",Mercado_Receita!$L$2:$L$300)+SUMIF(Mercado_Receita!$S$2:$S$300,"44652B1Convencional pré-pagamentoResidencialResidencial baixa renda – faixa 01Não se aplicaNão se aplicaFora ponta",Mercado_Receita!$L$2:$L$300)+SUMIF(Mercado_Receita!$S$2:$S$300,"44652B1Convencional pré-pagamentoResidencialResidencial baixa renda – faixa 01Não se aplicaNão se aplicaIntermediário",Mercado_Receita!$L$2:$L$300)+SUMIF(Mercado_Receita!$S$2:$S$300,"44652B1Convencional pré-pagamentoResidencialResidencial baixa renda – faixa 01Não se aplicaNão se aplicaNão se aplica",Mercado_Receita!$L$2:$L$300)</f>
        <v>0</v>
      </c>
      <c r="Q23" s="13">
        <f>SUMIF(Mercado_Receita!$S$2:$S$300,"44682B1Convencional pré-pagamentoResidencialResidencial baixa renda – faixa 01Não se aplicaNão se aplicaPonta",Mercado_Receita!$L$2:$L$300)+SUMIF(Mercado_Receita!$S$2:$S$300,"44682B1Convencional pré-pagamentoResidencialResidencial baixa renda – faixa 01Não se aplicaNão se aplicaFora ponta",Mercado_Receita!$L$2:$L$300)+SUMIF(Mercado_Receita!$S$2:$S$300,"44682B1Convencional pré-pagamentoResidencialResidencial baixa renda – faixa 01Não se aplicaNão se aplicaIntermediário",Mercado_Receita!$L$2:$L$300)+SUMIF(Mercado_Receita!$S$2:$S$300,"44682B1Convencional pré-pagamentoResidencialResidencial baixa renda – faixa 01Não se aplicaNão se aplicaNão se aplica",Mercado_Receita!$L$2:$L$300)</f>
        <v>0</v>
      </c>
      <c r="R23" s="13">
        <f>SUMIF(Mercado_Receita!$S$2:$S$300,"44713B1Convencional pré-pagamentoResidencialResidencial baixa renda – faixa 01Não se aplicaNão se aplicaPonta",Mercado_Receita!$L$2:$L$300)+SUMIF(Mercado_Receita!$S$2:$S$300,"44713B1Convencional pré-pagamentoResidencialResidencial baixa renda – faixa 01Não se aplicaNão se aplicaFora ponta",Mercado_Receita!$L$2:$L$300)+SUMIF(Mercado_Receita!$S$2:$S$300,"44713B1Convencional pré-pagamentoResidencialResidencial baixa renda – faixa 01Não se aplicaNão se aplicaIntermediário",Mercado_Receita!$L$2:$L$300)+SUMIF(Mercado_Receita!$S$2:$S$300,"44713B1Convencional pré-pagamentoResidencialResidencial baixa renda – faixa 01Não se aplicaNão se aplicaNão se aplica",Mercado_Receita!$L$2:$L$300)</f>
        <v>0</v>
      </c>
      <c r="S23" s="13">
        <f>SUMIF(Mercado_Receita!$S$2:$S$300,"44743B1Convencional pré-pagamentoResidencialResidencial baixa renda – faixa 01Não se aplicaNão se aplicaPonta",Mercado_Receita!$L$2:$L$300)+SUMIF(Mercado_Receita!$S$2:$S$300,"44743B1Convencional pré-pagamentoResidencialResidencial baixa renda – faixa 01Não se aplicaNão se aplicaFora ponta",Mercado_Receita!$L$2:$L$300)+SUMIF(Mercado_Receita!$S$2:$S$300,"44743B1Convencional pré-pagamentoResidencialResidencial baixa renda – faixa 01Não se aplicaNão se aplicaIntermediário",Mercado_Receita!$L$2:$L$300)+SUMIF(Mercado_Receita!$S$2:$S$300,"44743B1Convencional pré-pagamentoResidencialResidencial baixa renda – faixa 01Não se aplicaNão se aplicaNão se aplica",Mercado_Receita!$L$2:$L$300)</f>
        <v>0</v>
      </c>
      <c r="T23" s="13">
        <f>SUMIF(Mercado_Receita!$S$2:$S$300,"44774B1Convencional pré-pagamentoResidencialResidencial baixa renda – faixa 01Não se aplicaNão se aplicaPonta",Mercado_Receita!$L$2:$L$300)+SUMIF(Mercado_Receita!$S$2:$S$300,"44774B1Convencional pré-pagamentoResidencialResidencial baixa renda – faixa 01Não se aplicaNão se aplicaFora ponta",Mercado_Receita!$L$2:$L$300)+SUMIF(Mercado_Receita!$S$2:$S$300,"44774B1Convencional pré-pagamentoResidencialResidencial baixa renda – faixa 01Não se aplicaNão se aplicaIntermediário",Mercado_Receita!$L$2:$L$300)+SUMIF(Mercado_Receita!$S$2:$S$300,"44774B1Convencional pré-pagamentoResidencialResidencial baixa renda – faixa 01Não se aplicaNão se aplicaNão se aplica",Mercado_Receita!$L$2:$L$300)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82"/>
      <c r="B24" s="82"/>
      <c r="C24" s="82"/>
      <c r="D24" s="12" t="s">
        <v>30</v>
      </c>
      <c r="E24" s="12" t="s">
        <v>25</v>
      </c>
      <c r="F24" s="12" t="s">
        <v>25</v>
      </c>
      <c r="G24" s="13" t="s">
        <v>72</v>
      </c>
      <c r="H24" s="13" t="s">
        <v>68</v>
      </c>
      <c r="I24" s="13">
        <f>SUMIF(Mercado_Receita!$S$2:$S$300,"44440B1Convencional pré-pagamentoResidencialResidencial baixa renda – faixa 02Não se aplicaNão se aplicaPonta",Mercado_Receita!$L$2:$L$300)+SUMIF(Mercado_Receita!$S$2:$S$300,"44440B1Convencional pré-pagamentoResidencialResidencial baixa renda – faixa 02Não se aplicaNão se aplicaFora ponta",Mercado_Receita!$L$2:$L$300)+SUMIF(Mercado_Receita!$S$2:$S$300,"44440B1Convencional pré-pagamentoResidencialResidencial baixa renda – faixa 02Não se aplicaNão se aplicaIntermediário",Mercado_Receita!$L$2:$L$300)+SUMIF(Mercado_Receita!$S$2:$S$300,"44440B1Convencional pré-pagamentoResidencialResidencial baixa renda – faixa 02Não se aplicaNão se aplicaNão se aplica",Mercado_Receita!$L$2:$L$300)</f>
        <v>0</v>
      </c>
      <c r="J24" s="13">
        <f>SUMIF(Mercado_Receita!$S$2:$S$300,"44470B1Convencional pré-pagamentoResidencialResidencial baixa renda – faixa 02Não se aplicaNão se aplicaPonta",Mercado_Receita!$L$2:$L$300)+SUMIF(Mercado_Receita!$S$2:$S$300,"44470B1Convencional pré-pagamentoResidencialResidencial baixa renda – faixa 02Não se aplicaNão se aplicaFora ponta",Mercado_Receita!$L$2:$L$300)+SUMIF(Mercado_Receita!$S$2:$S$300,"44470B1Convencional pré-pagamentoResidencialResidencial baixa renda – faixa 02Não se aplicaNão se aplicaIntermediário",Mercado_Receita!$L$2:$L$300)+SUMIF(Mercado_Receita!$S$2:$S$300,"44470B1Convencional pré-pagamentoResidencialResidencial baixa renda – faixa 02Não se aplicaNão se aplicaNão se aplica",Mercado_Receita!$L$2:$L$300)</f>
        <v>0</v>
      </c>
      <c r="K24" s="13">
        <f>SUMIF(Mercado_Receita!$S$2:$S$300,"44501B1Convencional pré-pagamentoResidencialResidencial baixa renda – faixa 02Não se aplicaNão se aplicaPonta",Mercado_Receita!$L$2:$L$300)+SUMIF(Mercado_Receita!$S$2:$S$300,"44501B1Convencional pré-pagamentoResidencialResidencial baixa renda – faixa 02Não se aplicaNão se aplicaFora ponta",Mercado_Receita!$L$2:$L$300)+SUMIF(Mercado_Receita!$S$2:$S$300,"44501B1Convencional pré-pagamentoResidencialResidencial baixa renda – faixa 02Não se aplicaNão se aplicaIntermediário",Mercado_Receita!$L$2:$L$300)+SUMIF(Mercado_Receita!$S$2:$S$300,"44501B1Convencional pré-pagamentoResidencialResidencial baixa renda – faixa 02Não se aplicaNão se aplicaNão se aplica",Mercado_Receita!$L$2:$L$300)</f>
        <v>0</v>
      </c>
      <c r="L24" s="13">
        <f>SUMIF(Mercado_Receita!$S$2:$S$300,"44531B1Convencional pré-pagamentoResidencialResidencial baixa renda – faixa 02Não se aplicaNão se aplicaPonta",Mercado_Receita!$L$2:$L$300)+SUMIF(Mercado_Receita!$S$2:$S$300,"44531B1Convencional pré-pagamentoResidencialResidencial baixa renda – faixa 02Não se aplicaNão se aplicaFora ponta",Mercado_Receita!$L$2:$L$300)+SUMIF(Mercado_Receita!$S$2:$S$300,"44531B1Convencional pré-pagamentoResidencialResidencial baixa renda – faixa 02Não se aplicaNão se aplicaIntermediário",Mercado_Receita!$L$2:$L$300)+SUMIF(Mercado_Receita!$S$2:$S$300,"44531B1Convencional pré-pagamentoResidencialResidencial baixa renda – faixa 02Não se aplicaNão se aplicaNão se aplica",Mercado_Receita!$L$2:$L$300)</f>
        <v>0</v>
      </c>
      <c r="M24" s="13">
        <f>SUMIF(Mercado_Receita!$S$2:$S$300,"44562B1Convencional pré-pagamentoResidencialResidencial baixa renda – faixa 02Não se aplicaNão se aplicaPonta",Mercado_Receita!$L$2:$L$300)+SUMIF(Mercado_Receita!$S$2:$S$300,"44562B1Convencional pré-pagamentoResidencialResidencial baixa renda – faixa 02Não se aplicaNão se aplicaFora ponta",Mercado_Receita!$L$2:$L$300)+SUMIF(Mercado_Receita!$S$2:$S$300,"44562B1Convencional pré-pagamentoResidencialResidencial baixa renda – faixa 02Não se aplicaNão se aplicaIntermediário",Mercado_Receita!$L$2:$L$300)+SUMIF(Mercado_Receita!$S$2:$S$300,"44562B1Convencional pré-pagamentoResidencialResidencial baixa renda – faixa 02Não se aplicaNão se aplicaNão se aplica",Mercado_Receita!$L$2:$L$300)</f>
        <v>0</v>
      </c>
      <c r="N24" s="13">
        <f>SUMIF(Mercado_Receita!$S$2:$S$300,"44593B1Convencional pré-pagamentoResidencialResidencial baixa renda – faixa 02Não se aplicaNão se aplicaPonta",Mercado_Receita!$L$2:$L$300)+SUMIF(Mercado_Receita!$S$2:$S$300,"44593B1Convencional pré-pagamentoResidencialResidencial baixa renda – faixa 02Não se aplicaNão se aplicaFora ponta",Mercado_Receita!$L$2:$L$300)+SUMIF(Mercado_Receita!$S$2:$S$300,"44593B1Convencional pré-pagamentoResidencialResidencial baixa renda – faixa 02Não se aplicaNão se aplicaIntermediário",Mercado_Receita!$L$2:$L$300)+SUMIF(Mercado_Receita!$S$2:$S$300,"44593B1Convencional pré-pagamentoResidencialResidencial baixa renda – faixa 02Não se aplicaNão se aplicaNão se aplica",Mercado_Receita!$L$2:$L$300)</f>
        <v>0</v>
      </c>
      <c r="O24" s="13">
        <f>SUMIF(Mercado_Receita!$S$2:$S$300,"44621B1Convencional pré-pagamentoResidencialResidencial baixa renda – faixa 02Não se aplicaNão se aplicaPonta",Mercado_Receita!$L$2:$L$300)+SUMIF(Mercado_Receita!$S$2:$S$300,"44621B1Convencional pré-pagamentoResidencialResidencial baixa renda – faixa 02Não se aplicaNão se aplicaFora ponta",Mercado_Receita!$L$2:$L$300)+SUMIF(Mercado_Receita!$S$2:$S$300,"44621B1Convencional pré-pagamentoResidencialResidencial baixa renda – faixa 02Não se aplicaNão se aplicaIntermediário",Mercado_Receita!$L$2:$L$300)+SUMIF(Mercado_Receita!$S$2:$S$300,"44621B1Convencional pré-pagamentoResidencialResidencial baixa renda – faixa 02Não se aplicaNão se aplicaNão se aplica",Mercado_Receita!$L$2:$L$300)</f>
        <v>0</v>
      </c>
      <c r="P24" s="13">
        <f>SUMIF(Mercado_Receita!$S$2:$S$300,"44652B1Convencional pré-pagamentoResidencialResidencial baixa renda – faixa 02Não se aplicaNão se aplicaPonta",Mercado_Receita!$L$2:$L$300)+SUMIF(Mercado_Receita!$S$2:$S$300,"44652B1Convencional pré-pagamentoResidencialResidencial baixa renda – faixa 02Não se aplicaNão se aplicaFora ponta",Mercado_Receita!$L$2:$L$300)+SUMIF(Mercado_Receita!$S$2:$S$300,"44652B1Convencional pré-pagamentoResidencialResidencial baixa renda – faixa 02Não se aplicaNão se aplicaIntermediário",Mercado_Receita!$L$2:$L$300)+SUMIF(Mercado_Receita!$S$2:$S$300,"44652B1Convencional pré-pagamentoResidencialResidencial baixa renda – faixa 02Não se aplicaNão se aplicaNão se aplica",Mercado_Receita!$L$2:$L$300)</f>
        <v>0</v>
      </c>
      <c r="Q24" s="13">
        <f>SUMIF(Mercado_Receita!$S$2:$S$300,"44682B1Convencional pré-pagamentoResidencialResidencial baixa renda – faixa 02Não se aplicaNão se aplicaPonta",Mercado_Receita!$L$2:$L$300)+SUMIF(Mercado_Receita!$S$2:$S$300,"44682B1Convencional pré-pagamentoResidencialResidencial baixa renda – faixa 02Não se aplicaNão se aplicaFora ponta",Mercado_Receita!$L$2:$L$300)+SUMIF(Mercado_Receita!$S$2:$S$300,"44682B1Convencional pré-pagamentoResidencialResidencial baixa renda – faixa 02Não se aplicaNão se aplicaIntermediário",Mercado_Receita!$L$2:$L$300)+SUMIF(Mercado_Receita!$S$2:$S$300,"44682B1Convencional pré-pagamentoResidencialResidencial baixa renda – faixa 02Não se aplicaNão se aplicaNão se aplica",Mercado_Receita!$L$2:$L$300)</f>
        <v>0</v>
      </c>
      <c r="R24" s="13">
        <f>SUMIF(Mercado_Receita!$S$2:$S$300,"44713B1Convencional pré-pagamentoResidencialResidencial baixa renda – faixa 02Não se aplicaNão se aplicaPonta",Mercado_Receita!$L$2:$L$300)+SUMIF(Mercado_Receita!$S$2:$S$300,"44713B1Convencional pré-pagamentoResidencialResidencial baixa renda – faixa 02Não se aplicaNão se aplicaFora ponta",Mercado_Receita!$L$2:$L$300)+SUMIF(Mercado_Receita!$S$2:$S$300,"44713B1Convencional pré-pagamentoResidencialResidencial baixa renda – faixa 02Não se aplicaNão se aplicaIntermediário",Mercado_Receita!$L$2:$L$300)+SUMIF(Mercado_Receita!$S$2:$S$300,"44713B1Convencional pré-pagamentoResidencialResidencial baixa renda – faixa 02Não se aplicaNão se aplicaNão se aplica",Mercado_Receita!$L$2:$L$300)</f>
        <v>0</v>
      </c>
      <c r="S24" s="13">
        <f>SUMIF(Mercado_Receita!$S$2:$S$300,"44743B1Convencional pré-pagamentoResidencialResidencial baixa renda – faixa 02Não se aplicaNão se aplicaPonta",Mercado_Receita!$L$2:$L$300)+SUMIF(Mercado_Receita!$S$2:$S$300,"44743B1Convencional pré-pagamentoResidencialResidencial baixa renda – faixa 02Não se aplicaNão se aplicaFora ponta",Mercado_Receita!$L$2:$L$300)+SUMIF(Mercado_Receita!$S$2:$S$300,"44743B1Convencional pré-pagamentoResidencialResidencial baixa renda – faixa 02Não se aplicaNão se aplicaIntermediário",Mercado_Receita!$L$2:$L$300)+SUMIF(Mercado_Receita!$S$2:$S$300,"44743B1Convencional pré-pagamentoResidencialResidencial baixa renda – faixa 02Não se aplicaNão se aplicaNão se aplica",Mercado_Receita!$L$2:$L$300)</f>
        <v>0</v>
      </c>
      <c r="T24" s="13">
        <f>SUMIF(Mercado_Receita!$S$2:$S$300,"44774B1Convencional pré-pagamentoResidencialResidencial baixa renda – faixa 02Não se aplicaNão se aplicaPonta",Mercado_Receita!$L$2:$L$300)+SUMIF(Mercado_Receita!$S$2:$S$300,"44774B1Convencional pré-pagamentoResidencialResidencial baixa renda – faixa 02Não se aplicaNão se aplicaFora ponta",Mercado_Receita!$L$2:$L$300)+SUMIF(Mercado_Receita!$S$2:$S$300,"44774B1Convencional pré-pagamentoResidencialResidencial baixa renda – faixa 02Não se aplicaNão se aplicaIntermediário",Mercado_Receita!$L$2:$L$300)+SUMIF(Mercado_Receita!$S$2:$S$300,"44774B1Convencional pré-pagamentoResidencialResidencial baixa renda – faixa 02Não se aplicaNão se aplicaNão se aplica",Mercado_Receita!$L$2:$L$300)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82"/>
      <c r="B25" s="82"/>
      <c r="C25" s="82"/>
      <c r="D25" s="12" t="s">
        <v>31</v>
      </c>
      <c r="E25" s="12" t="s">
        <v>25</v>
      </c>
      <c r="F25" s="12" t="s">
        <v>25</v>
      </c>
      <c r="G25" s="13" t="s">
        <v>72</v>
      </c>
      <c r="H25" s="13" t="s">
        <v>68</v>
      </c>
      <c r="I25" s="13">
        <f>SUMIF(Mercado_Receita!$S$2:$S$300,"44440B1Convencional pré-pagamentoResidencialResidencial baixa renda – faixa 03Não se aplicaNão se aplicaPonta",Mercado_Receita!$L$2:$L$300)+SUMIF(Mercado_Receita!$S$2:$S$300,"44440B1Convencional pré-pagamentoResidencialResidencial baixa renda – faixa 03Não se aplicaNão se aplicaFora ponta",Mercado_Receita!$L$2:$L$300)+SUMIF(Mercado_Receita!$S$2:$S$300,"44440B1Convencional pré-pagamentoResidencialResidencial baixa renda – faixa 03Não se aplicaNão se aplicaIntermediário",Mercado_Receita!$L$2:$L$300)+SUMIF(Mercado_Receita!$S$2:$S$300,"44440B1Convencional pré-pagamentoResidencialResidencial baixa renda – faixa 03Não se aplicaNão se aplicaNão se aplica",Mercado_Receita!$L$2:$L$300)</f>
        <v>0</v>
      </c>
      <c r="J25" s="13">
        <f>SUMIF(Mercado_Receita!$S$2:$S$300,"44470B1Convencional pré-pagamentoResidencialResidencial baixa renda – faixa 03Não se aplicaNão se aplicaPonta",Mercado_Receita!$L$2:$L$300)+SUMIF(Mercado_Receita!$S$2:$S$300,"44470B1Convencional pré-pagamentoResidencialResidencial baixa renda – faixa 03Não se aplicaNão se aplicaFora ponta",Mercado_Receita!$L$2:$L$300)+SUMIF(Mercado_Receita!$S$2:$S$300,"44470B1Convencional pré-pagamentoResidencialResidencial baixa renda – faixa 03Não se aplicaNão se aplicaIntermediário",Mercado_Receita!$L$2:$L$300)+SUMIF(Mercado_Receita!$S$2:$S$300,"44470B1Convencional pré-pagamentoResidencialResidencial baixa renda – faixa 03Não se aplicaNão se aplicaNão se aplica",Mercado_Receita!$L$2:$L$300)</f>
        <v>0</v>
      </c>
      <c r="K25" s="13">
        <f>SUMIF(Mercado_Receita!$S$2:$S$300,"44501B1Convencional pré-pagamentoResidencialResidencial baixa renda – faixa 03Não se aplicaNão se aplicaPonta",Mercado_Receita!$L$2:$L$300)+SUMIF(Mercado_Receita!$S$2:$S$300,"44501B1Convencional pré-pagamentoResidencialResidencial baixa renda – faixa 03Não se aplicaNão se aplicaFora ponta",Mercado_Receita!$L$2:$L$300)+SUMIF(Mercado_Receita!$S$2:$S$300,"44501B1Convencional pré-pagamentoResidencialResidencial baixa renda – faixa 03Não se aplicaNão se aplicaIntermediário",Mercado_Receita!$L$2:$L$300)+SUMIF(Mercado_Receita!$S$2:$S$300,"44501B1Convencional pré-pagamentoResidencialResidencial baixa renda – faixa 03Não se aplicaNão se aplicaNão se aplica",Mercado_Receita!$L$2:$L$300)</f>
        <v>0</v>
      </c>
      <c r="L25" s="13">
        <f>SUMIF(Mercado_Receita!$S$2:$S$300,"44531B1Convencional pré-pagamentoResidencialResidencial baixa renda – faixa 03Não se aplicaNão se aplicaPonta",Mercado_Receita!$L$2:$L$300)+SUMIF(Mercado_Receita!$S$2:$S$300,"44531B1Convencional pré-pagamentoResidencialResidencial baixa renda – faixa 03Não se aplicaNão se aplicaFora ponta",Mercado_Receita!$L$2:$L$300)+SUMIF(Mercado_Receita!$S$2:$S$300,"44531B1Convencional pré-pagamentoResidencialResidencial baixa renda – faixa 03Não se aplicaNão se aplicaIntermediário",Mercado_Receita!$L$2:$L$300)+SUMIF(Mercado_Receita!$S$2:$S$300,"44531B1Convencional pré-pagamentoResidencialResidencial baixa renda – faixa 03Não se aplicaNão se aplicaNão se aplica",Mercado_Receita!$L$2:$L$300)</f>
        <v>0</v>
      </c>
      <c r="M25" s="13">
        <f>SUMIF(Mercado_Receita!$S$2:$S$300,"44562B1Convencional pré-pagamentoResidencialResidencial baixa renda – faixa 03Não se aplicaNão se aplicaPonta",Mercado_Receita!$L$2:$L$300)+SUMIF(Mercado_Receita!$S$2:$S$300,"44562B1Convencional pré-pagamentoResidencialResidencial baixa renda – faixa 03Não se aplicaNão se aplicaFora ponta",Mercado_Receita!$L$2:$L$300)+SUMIF(Mercado_Receita!$S$2:$S$300,"44562B1Convencional pré-pagamentoResidencialResidencial baixa renda – faixa 03Não se aplicaNão se aplicaIntermediário",Mercado_Receita!$L$2:$L$300)+SUMIF(Mercado_Receita!$S$2:$S$300,"44562B1Convencional pré-pagamentoResidencialResidencial baixa renda – faixa 03Não se aplicaNão se aplicaNão se aplica",Mercado_Receita!$L$2:$L$300)</f>
        <v>0</v>
      </c>
      <c r="N25" s="13">
        <f>SUMIF(Mercado_Receita!$S$2:$S$300,"44593B1Convencional pré-pagamentoResidencialResidencial baixa renda – faixa 03Não se aplicaNão se aplicaPonta",Mercado_Receita!$L$2:$L$300)+SUMIF(Mercado_Receita!$S$2:$S$300,"44593B1Convencional pré-pagamentoResidencialResidencial baixa renda – faixa 03Não se aplicaNão se aplicaFora ponta",Mercado_Receita!$L$2:$L$300)+SUMIF(Mercado_Receita!$S$2:$S$300,"44593B1Convencional pré-pagamentoResidencialResidencial baixa renda – faixa 03Não se aplicaNão se aplicaIntermediário",Mercado_Receita!$L$2:$L$300)+SUMIF(Mercado_Receita!$S$2:$S$300,"44593B1Convencional pré-pagamentoResidencialResidencial baixa renda – faixa 03Não se aplicaNão se aplicaNão se aplica",Mercado_Receita!$L$2:$L$300)</f>
        <v>0</v>
      </c>
      <c r="O25" s="13">
        <f>SUMIF(Mercado_Receita!$S$2:$S$300,"44621B1Convencional pré-pagamentoResidencialResidencial baixa renda – faixa 03Não se aplicaNão se aplicaPonta",Mercado_Receita!$L$2:$L$300)+SUMIF(Mercado_Receita!$S$2:$S$300,"44621B1Convencional pré-pagamentoResidencialResidencial baixa renda – faixa 03Não se aplicaNão se aplicaFora ponta",Mercado_Receita!$L$2:$L$300)+SUMIF(Mercado_Receita!$S$2:$S$300,"44621B1Convencional pré-pagamentoResidencialResidencial baixa renda – faixa 03Não se aplicaNão se aplicaIntermediário",Mercado_Receita!$L$2:$L$300)+SUMIF(Mercado_Receita!$S$2:$S$300,"44621B1Convencional pré-pagamentoResidencialResidencial baixa renda – faixa 03Não se aplicaNão se aplicaNão se aplica",Mercado_Receita!$L$2:$L$300)</f>
        <v>0</v>
      </c>
      <c r="P25" s="13">
        <f>SUMIF(Mercado_Receita!$S$2:$S$300,"44652B1Convencional pré-pagamentoResidencialResidencial baixa renda – faixa 03Não se aplicaNão se aplicaPonta",Mercado_Receita!$L$2:$L$300)+SUMIF(Mercado_Receita!$S$2:$S$300,"44652B1Convencional pré-pagamentoResidencialResidencial baixa renda – faixa 03Não se aplicaNão se aplicaFora ponta",Mercado_Receita!$L$2:$L$300)+SUMIF(Mercado_Receita!$S$2:$S$300,"44652B1Convencional pré-pagamentoResidencialResidencial baixa renda – faixa 03Não se aplicaNão se aplicaIntermediário",Mercado_Receita!$L$2:$L$300)+SUMIF(Mercado_Receita!$S$2:$S$300,"44652B1Convencional pré-pagamentoResidencialResidencial baixa renda – faixa 03Não se aplicaNão se aplicaNão se aplica",Mercado_Receita!$L$2:$L$300)</f>
        <v>0</v>
      </c>
      <c r="Q25" s="13">
        <f>SUMIF(Mercado_Receita!$S$2:$S$300,"44682B1Convencional pré-pagamentoResidencialResidencial baixa renda – faixa 03Não se aplicaNão se aplicaPonta",Mercado_Receita!$L$2:$L$300)+SUMIF(Mercado_Receita!$S$2:$S$300,"44682B1Convencional pré-pagamentoResidencialResidencial baixa renda – faixa 03Não se aplicaNão se aplicaFora ponta",Mercado_Receita!$L$2:$L$300)+SUMIF(Mercado_Receita!$S$2:$S$300,"44682B1Convencional pré-pagamentoResidencialResidencial baixa renda – faixa 03Não se aplicaNão se aplicaIntermediário",Mercado_Receita!$L$2:$L$300)+SUMIF(Mercado_Receita!$S$2:$S$300,"44682B1Convencional pré-pagamentoResidencialResidencial baixa renda – faixa 03Não se aplicaNão se aplicaNão se aplica",Mercado_Receita!$L$2:$L$300)</f>
        <v>0</v>
      </c>
      <c r="R25" s="13">
        <f>SUMIF(Mercado_Receita!$S$2:$S$300,"44713B1Convencional pré-pagamentoResidencialResidencial baixa renda – faixa 03Não se aplicaNão se aplicaPonta",Mercado_Receita!$L$2:$L$300)+SUMIF(Mercado_Receita!$S$2:$S$300,"44713B1Convencional pré-pagamentoResidencialResidencial baixa renda – faixa 03Não se aplicaNão se aplicaFora ponta",Mercado_Receita!$L$2:$L$300)+SUMIF(Mercado_Receita!$S$2:$S$300,"44713B1Convencional pré-pagamentoResidencialResidencial baixa renda – faixa 03Não se aplicaNão se aplicaIntermediário",Mercado_Receita!$L$2:$L$300)+SUMIF(Mercado_Receita!$S$2:$S$300,"44713B1Convencional pré-pagamentoResidencialResidencial baixa renda – faixa 03Não se aplicaNão se aplicaNão se aplica",Mercado_Receita!$L$2:$L$300)</f>
        <v>0</v>
      </c>
      <c r="S25" s="13">
        <f>SUMIF(Mercado_Receita!$S$2:$S$300,"44743B1Convencional pré-pagamentoResidencialResidencial baixa renda – faixa 03Não se aplicaNão se aplicaPonta",Mercado_Receita!$L$2:$L$300)+SUMIF(Mercado_Receita!$S$2:$S$300,"44743B1Convencional pré-pagamentoResidencialResidencial baixa renda – faixa 03Não se aplicaNão se aplicaFora ponta",Mercado_Receita!$L$2:$L$300)+SUMIF(Mercado_Receita!$S$2:$S$300,"44743B1Convencional pré-pagamentoResidencialResidencial baixa renda – faixa 03Não se aplicaNão se aplicaIntermediário",Mercado_Receita!$L$2:$L$300)+SUMIF(Mercado_Receita!$S$2:$S$300,"44743B1Convencional pré-pagamentoResidencialResidencial baixa renda – faixa 03Não se aplicaNão se aplicaNão se aplica",Mercado_Receita!$L$2:$L$300)</f>
        <v>0</v>
      </c>
      <c r="T25" s="13">
        <f>SUMIF(Mercado_Receita!$S$2:$S$300,"44774B1Convencional pré-pagamentoResidencialResidencial baixa renda – faixa 03Não se aplicaNão se aplicaPonta",Mercado_Receita!$L$2:$L$300)+SUMIF(Mercado_Receita!$S$2:$S$300,"44774B1Convencional pré-pagamentoResidencialResidencial baixa renda – faixa 03Não se aplicaNão se aplicaFora ponta",Mercado_Receita!$L$2:$L$300)+SUMIF(Mercado_Receita!$S$2:$S$300,"44774B1Convencional pré-pagamentoResidencialResidencial baixa renda – faixa 03Não se aplicaNão se aplicaIntermediário",Mercado_Receita!$L$2:$L$300)+SUMIF(Mercado_Receita!$S$2:$S$300,"44774B1Convencional pré-pagamentoResidencialResidencial baixa renda – faixa 03Não se aplicaNão se aplicaNão se aplica",Mercado_Receita!$L$2:$L$300)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82"/>
      <c r="B26" s="82"/>
      <c r="C26" s="82"/>
      <c r="D26" s="12" t="s">
        <v>32</v>
      </c>
      <c r="E26" s="12" t="s">
        <v>25</v>
      </c>
      <c r="F26" s="12" t="s">
        <v>25</v>
      </c>
      <c r="G26" s="13" t="s">
        <v>72</v>
      </c>
      <c r="H26" s="13" t="s">
        <v>68</v>
      </c>
      <c r="I26" s="13">
        <f>SUMIF(Mercado_Receita!$S$2:$S$300,"44440B1Convencional pré-pagamentoResidencialResidencial baixa renda – faixa 04Não se aplicaNão se aplicaPonta",Mercado_Receita!$L$2:$L$300)+SUMIF(Mercado_Receita!$S$2:$S$300,"44440B1Convencional pré-pagamentoResidencialResidencial baixa renda – faixa 04Não se aplicaNão se aplicaFora ponta",Mercado_Receita!$L$2:$L$300)+SUMIF(Mercado_Receita!$S$2:$S$300,"44440B1Convencional pré-pagamentoResidencialResidencial baixa renda – faixa 04Não se aplicaNão se aplicaIntermediário",Mercado_Receita!$L$2:$L$300)+SUMIF(Mercado_Receita!$S$2:$S$300,"44440B1Convencional pré-pagamentoResidencialResidencial baixa renda – faixa 04Não se aplicaNão se aplicaNão se aplica",Mercado_Receita!$L$2:$L$300)</f>
        <v>0</v>
      </c>
      <c r="J26" s="13">
        <f>SUMIF(Mercado_Receita!$S$2:$S$300,"44470B1Convencional pré-pagamentoResidencialResidencial baixa renda – faixa 04Não se aplicaNão se aplicaPonta",Mercado_Receita!$L$2:$L$300)+SUMIF(Mercado_Receita!$S$2:$S$300,"44470B1Convencional pré-pagamentoResidencialResidencial baixa renda – faixa 04Não se aplicaNão se aplicaFora ponta",Mercado_Receita!$L$2:$L$300)+SUMIF(Mercado_Receita!$S$2:$S$300,"44470B1Convencional pré-pagamentoResidencialResidencial baixa renda – faixa 04Não se aplicaNão se aplicaIntermediário",Mercado_Receita!$L$2:$L$300)+SUMIF(Mercado_Receita!$S$2:$S$300,"44470B1Convencional pré-pagamentoResidencialResidencial baixa renda – faixa 04Não se aplicaNão se aplicaNão se aplica",Mercado_Receita!$L$2:$L$300)</f>
        <v>0</v>
      </c>
      <c r="K26" s="13">
        <f>SUMIF(Mercado_Receita!$S$2:$S$300,"44501B1Convencional pré-pagamentoResidencialResidencial baixa renda – faixa 04Não se aplicaNão se aplicaPonta",Mercado_Receita!$L$2:$L$300)+SUMIF(Mercado_Receita!$S$2:$S$300,"44501B1Convencional pré-pagamentoResidencialResidencial baixa renda – faixa 04Não se aplicaNão se aplicaFora ponta",Mercado_Receita!$L$2:$L$300)+SUMIF(Mercado_Receita!$S$2:$S$300,"44501B1Convencional pré-pagamentoResidencialResidencial baixa renda – faixa 04Não se aplicaNão se aplicaIntermediário",Mercado_Receita!$L$2:$L$300)+SUMIF(Mercado_Receita!$S$2:$S$300,"44501B1Convencional pré-pagamentoResidencialResidencial baixa renda – faixa 04Não se aplicaNão se aplicaNão se aplica",Mercado_Receita!$L$2:$L$300)</f>
        <v>0</v>
      </c>
      <c r="L26" s="13">
        <f>SUMIF(Mercado_Receita!$S$2:$S$300,"44531B1Convencional pré-pagamentoResidencialResidencial baixa renda – faixa 04Não se aplicaNão se aplicaPonta",Mercado_Receita!$L$2:$L$300)+SUMIF(Mercado_Receita!$S$2:$S$300,"44531B1Convencional pré-pagamentoResidencialResidencial baixa renda – faixa 04Não se aplicaNão se aplicaFora ponta",Mercado_Receita!$L$2:$L$300)+SUMIF(Mercado_Receita!$S$2:$S$300,"44531B1Convencional pré-pagamentoResidencialResidencial baixa renda – faixa 04Não se aplicaNão se aplicaIntermediário",Mercado_Receita!$L$2:$L$300)+SUMIF(Mercado_Receita!$S$2:$S$300,"44531B1Convencional pré-pagamentoResidencialResidencial baixa renda – faixa 04Não se aplicaNão se aplicaNão se aplica",Mercado_Receita!$L$2:$L$300)</f>
        <v>0</v>
      </c>
      <c r="M26" s="13">
        <f>SUMIF(Mercado_Receita!$S$2:$S$300,"44562B1Convencional pré-pagamentoResidencialResidencial baixa renda – faixa 04Não se aplicaNão se aplicaPonta",Mercado_Receita!$L$2:$L$300)+SUMIF(Mercado_Receita!$S$2:$S$300,"44562B1Convencional pré-pagamentoResidencialResidencial baixa renda – faixa 04Não se aplicaNão se aplicaFora ponta",Mercado_Receita!$L$2:$L$300)+SUMIF(Mercado_Receita!$S$2:$S$300,"44562B1Convencional pré-pagamentoResidencialResidencial baixa renda – faixa 04Não se aplicaNão se aplicaIntermediário",Mercado_Receita!$L$2:$L$300)+SUMIF(Mercado_Receita!$S$2:$S$300,"44562B1Convencional pré-pagamentoResidencialResidencial baixa renda – faixa 04Não se aplicaNão se aplicaNão se aplica",Mercado_Receita!$L$2:$L$300)</f>
        <v>0</v>
      </c>
      <c r="N26" s="13">
        <f>SUMIF(Mercado_Receita!$S$2:$S$300,"44593B1Convencional pré-pagamentoResidencialResidencial baixa renda – faixa 04Não se aplicaNão se aplicaPonta",Mercado_Receita!$L$2:$L$300)+SUMIF(Mercado_Receita!$S$2:$S$300,"44593B1Convencional pré-pagamentoResidencialResidencial baixa renda – faixa 04Não se aplicaNão se aplicaFora ponta",Mercado_Receita!$L$2:$L$300)+SUMIF(Mercado_Receita!$S$2:$S$300,"44593B1Convencional pré-pagamentoResidencialResidencial baixa renda – faixa 04Não se aplicaNão se aplicaIntermediário",Mercado_Receita!$L$2:$L$300)+SUMIF(Mercado_Receita!$S$2:$S$300,"44593B1Convencional pré-pagamentoResidencialResidencial baixa renda – faixa 04Não se aplicaNão se aplicaNão se aplica",Mercado_Receita!$L$2:$L$300)</f>
        <v>0</v>
      </c>
      <c r="O26" s="13">
        <f>SUMIF(Mercado_Receita!$S$2:$S$300,"44621B1Convencional pré-pagamentoResidencialResidencial baixa renda – faixa 04Não se aplicaNão se aplicaPonta",Mercado_Receita!$L$2:$L$300)+SUMIF(Mercado_Receita!$S$2:$S$300,"44621B1Convencional pré-pagamentoResidencialResidencial baixa renda – faixa 04Não se aplicaNão se aplicaFora ponta",Mercado_Receita!$L$2:$L$300)+SUMIF(Mercado_Receita!$S$2:$S$300,"44621B1Convencional pré-pagamentoResidencialResidencial baixa renda – faixa 04Não se aplicaNão se aplicaIntermediário",Mercado_Receita!$L$2:$L$300)+SUMIF(Mercado_Receita!$S$2:$S$300,"44621B1Convencional pré-pagamentoResidencialResidencial baixa renda – faixa 04Não se aplicaNão se aplicaNão se aplica",Mercado_Receita!$L$2:$L$300)</f>
        <v>0</v>
      </c>
      <c r="P26" s="13">
        <f>SUMIF(Mercado_Receita!$S$2:$S$300,"44652B1Convencional pré-pagamentoResidencialResidencial baixa renda – faixa 04Não se aplicaNão se aplicaPonta",Mercado_Receita!$L$2:$L$300)+SUMIF(Mercado_Receita!$S$2:$S$300,"44652B1Convencional pré-pagamentoResidencialResidencial baixa renda – faixa 04Não se aplicaNão se aplicaFora ponta",Mercado_Receita!$L$2:$L$300)+SUMIF(Mercado_Receita!$S$2:$S$300,"44652B1Convencional pré-pagamentoResidencialResidencial baixa renda – faixa 04Não se aplicaNão se aplicaIntermediário",Mercado_Receita!$L$2:$L$300)+SUMIF(Mercado_Receita!$S$2:$S$300,"44652B1Convencional pré-pagamentoResidencialResidencial baixa renda – faixa 04Não se aplicaNão se aplicaNão se aplica",Mercado_Receita!$L$2:$L$300)</f>
        <v>0</v>
      </c>
      <c r="Q26" s="13">
        <f>SUMIF(Mercado_Receita!$S$2:$S$300,"44682B1Convencional pré-pagamentoResidencialResidencial baixa renda – faixa 04Não se aplicaNão se aplicaPonta",Mercado_Receita!$L$2:$L$300)+SUMIF(Mercado_Receita!$S$2:$S$300,"44682B1Convencional pré-pagamentoResidencialResidencial baixa renda – faixa 04Não se aplicaNão se aplicaFora ponta",Mercado_Receita!$L$2:$L$300)+SUMIF(Mercado_Receita!$S$2:$S$300,"44682B1Convencional pré-pagamentoResidencialResidencial baixa renda – faixa 04Não se aplicaNão se aplicaIntermediário",Mercado_Receita!$L$2:$L$300)+SUMIF(Mercado_Receita!$S$2:$S$300,"44682B1Convencional pré-pagamentoResidencialResidencial baixa renda – faixa 04Não se aplicaNão se aplicaNão se aplica",Mercado_Receita!$L$2:$L$300)</f>
        <v>0</v>
      </c>
      <c r="R26" s="13">
        <f>SUMIF(Mercado_Receita!$S$2:$S$300,"44713B1Convencional pré-pagamentoResidencialResidencial baixa renda – faixa 04Não se aplicaNão se aplicaPonta",Mercado_Receita!$L$2:$L$300)+SUMIF(Mercado_Receita!$S$2:$S$300,"44713B1Convencional pré-pagamentoResidencialResidencial baixa renda – faixa 04Não se aplicaNão se aplicaFora ponta",Mercado_Receita!$L$2:$L$300)+SUMIF(Mercado_Receita!$S$2:$S$300,"44713B1Convencional pré-pagamentoResidencialResidencial baixa renda – faixa 04Não se aplicaNão se aplicaIntermediário",Mercado_Receita!$L$2:$L$300)+SUMIF(Mercado_Receita!$S$2:$S$300,"44713B1Convencional pré-pagamentoResidencialResidencial baixa renda – faixa 04Não se aplicaNão se aplicaNão se aplica",Mercado_Receita!$L$2:$L$300)</f>
        <v>0</v>
      </c>
      <c r="S26" s="13">
        <f>SUMIF(Mercado_Receita!$S$2:$S$300,"44743B1Convencional pré-pagamentoResidencialResidencial baixa renda – faixa 04Não se aplicaNão se aplicaPonta",Mercado_Receita!$L$2:$L$300)+SUMIF(Mercado_Receita!$S$2:$S$300,"44743B1Convencional pré-pagamentoResidencialResidencial baixa renda – faixa 04Não se aplicaNão se aplicaFora ponta",Mercado_Receita!$L$2:$L$300)+SUMIF(Mercado_Receita!$S$2:$S$300,"44743B1Convencional pré-pagamentoResidencialResidencial baixa renda – faixa 04Não se aplicaNão se aplicaIntermediário",Mercado_Receita!$L$2:$L$300)+SUMIF(Mercado_Receita!$S$2:$S$300,"44743B1Convencional pré-pagamentoResidencialResidencial baixa renda – faixa 04Não se aplicaNão se aplicaNão se aplica",Mercado_Receita!$L$2:$L$300)</f>
        <v>0</v>
      </c>
      <c r="T26" s="13">
        <f>SUMIF(Mercado_Receita!$S$2:$S$300,"44774B1Convencional pré-pagamentoResidencialResidencial baixa renda – faixa 04Não se aplicaNão se aplicaPonta",Mercado_Receita!$L$2:$L$300)+SUMIF(Mercado_Receita!$S$2:$S$300,"44774B1Convencional pré-pagamentoResidencialResidencial baixa renda – faixa 04Não se aplicaNão se aplicaFora ponta",Mercado_Receita!$L$2:$L$300)+SUMIF(Mercado_Receita!$S$2:$S$300,"44774B1Convencional pré-pagamentoResidencialResidencial baixa renda – faixa 04Não se aplicaNão se aplicaIntermediário",Mercado_Receita!$L$2:$L$300)+SUMIF(Mercado_Receita!$S$2:$S$300,"44774B1Convencional pré-pagamentoResidencialResidencial baixa renda – faixa 04Não se aplicaNão se aplicaNão se aplica",Mercado_Receita!$L$2:$L$300)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81" t="s">
        <v>41</v>
      </c>
      <c r="B27" s="81" t="s">
        <v>33</v>
      </c>
      <c r="C27" s="81" t="s">
        <v>42</v>
      </c>
      <c r="D27" s="81" t="s">
        <v>25</v>
      </c>
      <c r="E27" s="81" t="s">
        <v>25</v>
      </c>
      <c r="F27" s="81" t="s">
        <v>25</v>
      </c>
      <c r="G27" s="13" t="s">
        <v>69</v>
      </c>
      <c r="H27" s="13" t="s">
        <v>68</v>
      </c>
      <c r="I27" s="13">
        <f>SUMIF(Mercado_Receita!$S$2:$S$300,"44440B2BrancaRuralNão se aplicaNão se aplicaNão se aplicaPonta",Mercado_Receita!$L$2:$L$300)</f>
        <v>0</v>
      </c>
      <c r="J27" s="13">
        <f>SUMIF(Mercado_Receita!$S$2:$S$300,"44470B2BrancaRuralNão se aplicaNão se aplicaNão se aplicaPonta",Mercado_Receita!$L$2:$L$300)</f>
        <v>0</v>
      </c>
      <c r="K27" s="13">
        <f>SUMIF(Mercado_Receita!$S$2:$S$300,"44501B2BrancaRuralNão se aplicaNão se aplicaNão se aplicaPonta",Mercado_Receita!$L$2:$L$300)</f>
        <v>0</v>
      </c>
      <c r="L27" s="13">
        <f>SUMIF(Mercado_Receita!$S$2:$S$300,"44531B2BrancaRuralNão se aplicaNão se aplicaNão se aplicaPonta",Mercado_Receita!$L$2:$L$300)</f>
        <v>0</v>
      </c>
      <c r="M27" s="13">
        <f>SUMIF(Mercado_Receita!$S$2:$S$300,"44562B2BrancaRuralNão se aplicaNão se aplicaNão se aplicaPonta",Mercado_Receita!$L$2:$L$300)</f>
        <v>0</v>
      </c>
      <c r="N27" s="13">
        <f>SUMIF(Mercado_Receita!$S$2:$S$300,"44593B2BrancaRuralNão se aplicaNão se aplicaNão se aplicaPonta",Mercado_Receita!$L$2:$L$300)</f>
        <v>0</v>
      </c>
      <c r="O27" s="13">
        <f>SUMIF(Mercado_Receita!$S$2:$S$300,"44621B2BrancaRuralNão se aplicaNão se aplicaNão se aplicaPonta",Mercado_Receita!$L$2:$L$300)</f>
        <v>0</v>
      </c>
      <c r="P27" s="13">
        <f>SUMIF(Mercado_Receita!$S$2:$S$300,"44652B2BrancaRuralNão se aplicaNão se aplicaNão se aplicaPonta",Mercado_Receita!$L$2:$L$300)</f>
        <v>0</v>
      </c>
      <c r="Q27" s="13">
        <f>SUMIF(Mercado_Receita!$S$2:$S$300,"44682B2BrancaRuralNão se aplicaNão se aplicaNão se aplicaPonta",Mercado_Receita!$L$2:$L$300)</f>
        <v>0</v>
      </c>
      <c r="R27" s="13">
        <f>SUMIF(Mercado_Receita!$S$2:$S$300,"44713B2BrancaRuralNão se aplicaNão se aplicaNão se aplicaPonta",Mercado_Receita!$L$2:$L$300)</f>
        <v>0</v>
      </c>
      <c r="S27" s="13">
        <f>SUMIF(Mercado_Receita!$S$2:$S$300,"44743B2BrancaRuralNão se aplicaNão se aplicaNão se aplicaPonta",Mercado_Receita!$L$2:$L$300)</f>
        <v>0</v>
      </c>
      <c r="T27" s="13">
        <f>SUMIF(Mercado_Receita!$S$2:$S$300,"44774B2BrancaRuralNão se aplicaNão se aplicaNão se aplicaPonta",Mercado_Receita!$L$2:$L$300)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82"/>
      <c r="B28" s="82"/>
      <c r="C28" s="82"/>
      <c r="D28" s="82"/>
      <c r="E28" s="82"/>
      <c r="F28" s="82"/>
      <c r="G28" s="13" t="s">
        <v>82</v>
      </c>
      <c r="H28" s="13" t="s">
        <v>68</v>
      </c>
      <c r="I28" s="13">
        <f>SUMIF(Mercado_Receita!$S$2:$S$300,"44440B2BrancaRuralNão se aplicaNão se aplicaNão se aplicaIntermediário",Mercado_Receita!$L$2:$L$300)</f>
        <v>0</v>
      </c>
      <c r="J28" s="13">
        <f>SUMIF(Mercado_Receita!$S$2:$S$300,"44470B2BrancaRuralNão se aplicaNão se aplicaNão se aplicaIntermediário",Mercado_Receita!$L$2:$L$300)</f>
        <v>0</v>
      </c>
      <c r="K28" s="13">
        <f>SUMIF(Mercado_Receita!$S$2:$S$300,"44501B2BrancaRuralNão se aplicaNão se aplicaNão se aplicaIntermediário",Mercado_Receita!$L$2:$L$300)</f>
        <v>0</v>
      </c>
      <c r="L28" s="13">
        <f>SUMIF(Mercado_Receita!$S$2:$S$300,"44531B2BrancaRuralNão se aplicaNão se aplicaNão se aplicaIntermediário",Mercado_Receita!$L$2:$L$300)</f>
        <v>0</v>
      </c>
      <c r="M28" s="13">
        <f>SUMIF(Mercado_Receita!$S$2:$S$300,"44562B2BrancaRuralNão se aplicaNão se aplicaNão se aplicaIntermediário",Mercado_Receita!$L$2:$L$300)</f>
        <v>0</v>
      </c>
      <c r="N28" s="13">
        <f>SUMIF(Mercado_Receita!$S$2:$S$300,"44593B2BrancaRuralNão se aplicaNão se aplicaNão se aplicaIntermediário",Mercado_Receita!$L$2:$L$300)</f>
        <v>0</v>
      </c>
      <c r="O28" s="13">
        <f>SUMIF(Mercado_Receita!$S$2:$S$300,"44621B2BrancaRuralNão se aplicaNão se aplicaNão se aplicaIntermediário",Mercado_Receita!$L$2:$L$300)</f>
        <v>0</v>
      </c>
      <c r="P28" s="13">
        <f>SUMIF(Mercado_Receita!$S$2:$S$300,"44652B2BrancaRuralNão se aplicaNão se aplicaNão se aplicaIntermediário",Mercado_Receita!$L$2:$L$300)</f>
        <v>0</v>
      </c>
      <c r="Q28" s="13">
        <f>SUMIF(Mercado_Receita!$S$2:$S$300,"44682B2BrancaRuralNão se aplicaNão se aplicaNão se aplicaIntermediário",Mercado_Receita!$L$2:$L$300)</f>
        <v>0</v>
      </c>
      <c r="R28" s="13">
        <f>SUMIF(Mercado_Receita!$S$2:$S$300,"44713B2BrancaRuralNão se aplicaNão se aplicaNão se aplicaIntermediário",Mercado_Receita!$L$2:$L$300)</f>
        <v>0</v>
      </c>
      <c r="S28" s="13">
        <f>SUMIF(Mercado_Receita!$S$2:$S$300,"44743B2BrancaRuralNão se aplicaNão se aplicaNão se aplicaIntermediário",Mercado_Receita!$L$2:$L$300)</f>
        <v>0</v>
      </c>
      <c r="T28" s="13">
        <f>SUMIF(Mercado_Receita!$S$2:$S$300,"44774B2BrancaRuralNão se aplicaNão se aplicaNão se aplicaIntermediário",Mercado_Receita!$L$2:$L$300)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82"/>
      <c r="B29" s="82"/>
      <c r="C29" s="82"/>
      <c r="D29" s="82"/>
      <c r="E29" s="82"/>
      <c r="F29" s="82"/>
      <c r="G29" s="13" t="s">
        <v>70</v>
      </c>
      <c r="H29" s="13" t="s">
        <v>68</v>
      </c>
      <c r="I29" s="13">
        <f>SUMIF(Mercado_Receita!$S$2:$S$300,"44440B2BrancaRuralNão se aplicaNão se aplicaNão se aplicaFora ponta",Mercado_Receita!$L$2:$L$300)</f>
        <v>0</v>
      </c>
      <c r="J29" s="13">
        <f>SUMIF(Mercado_Receita!$S$2:$S$300,"44470B2BrancaRuralNão se aplicaNão se aplicaNão se aplicaFora ponta",Mercado_Receita!$L$2:$L$300)</f>
        <v>0</v>
      </c>
      <c r="K29" s="13">
        <f>SUMIF(Mercado_Receita!$S$2:$S$300,"44501B2BrancaRuralNão se aplicaNão se aplicaNão se aplicaFora ponta",Mercado_Receita!$L$2:$L$300)</f>
        <v>0</v>
      </c>
      <c r="L29" s="13">
        <f>SUMIF(Mercado_Receita!$S$2:$S$300,"44531B2BrancaRuralNão se aplicaNão se aplicaNão se aplicaFora ponta",Mercado_Receita!$L$2:$L$300)</f>
        <v>0</v>
      </c>
      <c r="M29" s="13">
        <f>SUMIF(Mercado_Receita!$S$2:$S$300,"44562B2BrancaRuralNão se aplicaNão se aplicaNão se aplicaFora ponta",Mercado_Receita!$L$2:$L$300)</f>
        <v>0</v>
      </c>
      <c r="N29" s="13">
        <f>SUMIF(Mercado_Receita!$S$2:$S$300,"44593B2BrancaRuralNão se aplicaNão se aplicaNão se aplicaFora ponta",Mercado_Receita!$L$2:$L$300)</f>
        <v>0</v>
      </c>
      <c r="O29" s="13">
        <f>SUMIF(Mercado_Receita!$S$2:$S$300,"44621B2BrancaRuralNão se aplicaNão se aplicaNão se aplicaFora ponta",Mercado_Receita!$L$2:$L$300)</f>
        <v>0</v>
      </c>
      <c r="P29" s="13">
        <f>SUMIF(Mercado_Receita!$S$2:$S$300,"44652B2BrancaRuralNão se aplicaNão se aplicaNão se aplicaFora ponta",Mercado_Receita!$L$2:$L$300)</f>
        <v>0</v>
      </c>
      <c r="Q29" s="13">
        <f>SUMIF(Mercado_Receita!$S$2:$S$300,"44682B2BrancaRuralNão se aplicaNão se aplicaNão se aplicaFora ponta",Mercado_Receita!$L$2:$L$300)</f>
        <v>0</v>
      </c>
      <c r="R29" s="13">
        <f>SUMIF(Mercado_Receita!$S$2:$S$300,"44713B2BrancaRuralNão se aplicaNão se aplicaNão se aplicaFora ponta",Mercado_Receita!$L$2:$L$300)</f>
        <v>0</v>
      </c>
      <c r="S29" s="13">
        <f>SUMIF(Mercado_Receita!$S$2:$S$300,"44743B2BrancaRuralNão se aplicaNão se aplicaNão se aplicaFora ponta",Mercado_Receita!$L$2:$L$300)</f>
        <v>0</v>
      </c>
      <c r="T29" s="13">
        <f>SUMIF(Mercado_Receita!$S$2:$S$300,"44774B2BrancaRuralNão se aplicaNão se aplicaNão se aplicaFora ponta",Mercado_Receita!$L$2:$L$300)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82"/>
      <c r="B30" s="12" t="s">
        <v>23</v>
      </c>
      <c r="C30" s="12" t="s">
        <v>42</v>
      </c>
      <c r="D30" s="12" t="s">
        <v>25</v>
      </c>
      <c r="E30" s="12" t="s">
        <v>25</v>
      </c>
      <c r="F30" s="12" t="s">
        <v>25</v>
      </c>
      <c r="G30" s="13" t="s">
        <v>72</v>
      </c>
      <c r="H30" s="13" t="s">
        <v>68</v>
      </c>
      <c r="I30" s="13">
        <f>SUMIF(Mercado_Receita!$S$2:$S$300,"44440B2ConvencionalRuralNão se aplicaNão se aplicaNão se aplicaPonta",Mercado_Receita!$L$2:$L$300)+SUMIF(Mercado_Receita!$S$2:$S$300,"44440B2ConvencionalRuralNão se aplicaNão se aplicaNão se aplicaFora ponta",Mercado_Receita!$L$2:$L$300)+SUMIF(Mercado_Receita!$S$2:$S$300,"44440B2ConvencionalRuralNão se aplicaNão se aplicaNão se aplicaIntermediário",Mercado_Receita!$L$2:$L$300)+SUMIF(Mercado_Receita!$S$2:$S$300,"44440B2ConvencionalRuralNão se aplicaNão se aplicaNão se aplicaNão se aplica",Mercado_Receita!$L$2:$L$300)</f>
        <v>108.95700000000001</v>
      </c>
      <c r="J30" s="13">
        <f>SUMIF(Mercado_Receita!$S$2:$S$300,"44470B2ConvencionalRuralNão se aplicaNão se aplicaNão se aplicaPonta",Mercado_Receita!$L$2:$L$300)+SUMIF(Mercado_Receita!$S$2:$S$300,"44470B2ConvencionalRuralNão se aplicaNão se aplicaNão se aplicaFora ponta",Mercado_Receita!$L$2:$L$300)+SUMIF(Mercado_Receita!$S$2:$S$300,"44470B2ConvencionalRuralNão se aplicaNão se aplicaNão se aplicaIntermediário",Mercado_Receita!$L$2:$L$300)+SUMIF(Mercado_Receita!$S$2:$S$300,"44470B2ConvencionalRuralNão se aplicaNão se aplicaNão se aplicaNão se aplica",Mercado_Receita!$L$2:$L$300)</f>
        <v>106.313</v>
      </c>
      <c r="K30" s="13">
        <f>SUMIF(Mercado_Receita!$S$2:$S$300,"44501B2ConvencionalRuralNão se aplicaNão se aplicaNão se aplicaPonta",Mercado_Receita!$L$2:$L$300)+SUMIF(Mercado_Receita!$S$2:$S$300,"44501B2ConvencionalRuralNão se aplicaNão se aplicaNão se aplicaFora ponta",Mercado_Receita!$L$2:$L$300)+SUMIF(Mercado_Receita!$S$2:$S$300,"44501B2ConvencionalRuralNão se aplicaNão se aplicaNão se aplicaIntermediário",Mercado_Receita!$L$2:$L$300)+SUMIF(Mercado_Receita!$S$2:$S$300,"44501B2ConvencionalRuralNão se aplicaNão se aplicaNão se aplicaNão se aplica",Mercado_Receita!$L$2:$L$300)</f>
        <v>111.298</v>
      </c>
      <c r="L30" s="13">
        <f>SUMIF(Mercado_Receita!$S$2:$S$300,"44531B2ConvencionalRuralNão se aplicaNão se aplicaNão se aplicaPonta",Mercado_Receita!$L$2:$L$300)+SUMIF(Mercado_Receita!$S$2:$S$300,"44531B2ConvencionalRuralNão se aplicaNão se aplicaNão se aplicaFora ponta",Mercado_Receita!$L$2:$L$300)+SUMIF(Mercado_Receita!$S$2:$S$300,"44531B2ConvencionalRuralNão se aplicaNão se aplicaNão se aplicaIntermediário",Mercado_Receita!$L$2:$L$300)+SUMIF(Mercado_Receita!$S$2:$S$300,"44531B2ConvencionalRuralNão se aplicaNão se aplicaNão se aplicaNão se aplica",Mercado_Receita!$L$2:$L$300)</f>
        <v>116.46900000000001</v>
      </c>
      <c r="M30" s="13">
        <f>SUMIF(Mercado_Receita!$S$2:$S$300,"44562B2ConvencionalRuralNão se aplicaNão se aplicaNão se aplicaPonta",Mercado_Receita!$L$2:$L$300)+SUMIF(Mercado_Receita!$S$2:$S$300,"44562B2ConvencionalRuralNão se aplicaNão se aplicaNão se aplicaFora ponta",Mercado_Receita!$L$2:$L$300)+SUMIF(Mercado_Receita!$S$2:$S$300,"44562B2ConvencionalRuralNão se aplicaNão se aplicaNão se aplicaIntermediário",Mercado_Receita!$L$2:$L$300)+SUMIF(Mercado_Receita!$S$2:$S$300,"44562B2ConvencionalRuralNão se aplicaNão se aplicaNão se aplicaNão se aplica",Mercado_Receita!$L$2:$L$300)</f>
        <v>135.34800000000001</v>
      </c>
      <c r="N30" s="13">
        <f>SUMIF(Mercado_Receita!$S$2:$S$300,"44593B2ConvencionalRuralNão se aplicaNão se aplicaNão se aplicaPonta",Mercado_Receita!$L$2:$L$300)+SUMIF(Mercado_Receita!$S$2:$S$300,"44593B2ConvencionalRuralNão se aplicaNão se aplicaNão se aplicaFora ponta",Mercado_Receita!$L$2:$L$300)+SUMIF(Mercado_Receita!$S$2:$S$300,"44593B2ConvencionalRuralNão se aplicaNão se aplicaNão se aplicaIntermediário",Mercado_Receita!$L$2:$L$300)+SUMIF(Mercado_Receita!$S$2:$S$300,"44593B2ConvencionalRuralNão se aplicaNão se aplicaNão se aplicaNão se aplica",Mercado_Receita!$L$2:$L$300)</f>
        <v>128.77799999999999</v>
      </c>
      <c r="O30" s="13">
        <f>SUMIF(Mercado_Receita!$S$2:$S$300,"44621B2ConvencionalRuralNão se aplicaNão se aplicaNão se aplicaPonta",Mercado_Receita!$L$2:$L$300)+SUMIF(Mercado_Receita!$S$2:$S$300,"44621B2ConvencionalRuralNão se aplicaNão se aplicaNão se aplicaFora ponta",Mercado_Receita!$L$2:$L$300)+SUMIF(Mercado_Receita!$S$2:$S$300,"44621B2ConvencionalRuralNão se aplicaNão se aplicaNão se aplicaIntermediário",Mercado_Receita!$L$2:$L$300)+SUMIF(Mercado_Receita!$S$2:$S$300,"44621B2ConvencionalRuralNão se aplicaNão se aplicaNão se aplicaNão se aplica",Mercado_Receita!$L$2:$L$300)</f>
        <v>132.58600000000001</v>
      </c>
      <c r="P30" s="13">
        <f>SUMIF(Mercado_Receita!$S$2:$S$300,"44652B2ConvencionalRuralNão se aplicaNão se aplicaNão se aplicaPonta",Mercado_Receita!$L$2:$L$300)+SUMIF(Mercado_Receita!$S$2:$S$300,"44652B2ConvencionalRuralNão se aplicaNão se aplicaNão se aplicaFora ponta",Mercado_Receita!$L$2:$L$300)+SUMIF(Mercado_Receita!$S$2:$S$300,"44652B2ConvencionalRuralNão se aplicaNão se aplicaNão se aplicaIntermediário",Mercado_Receita!$L$2:$L$300)+SUMIF(Mercado_Receita!$S$2:$S$300,"44652B2ConvencionalRuralNão se aplicaNão se aplicaNão se aplicaNão se aplica",Mercado_Receita!$L$2:$L$300)</f>
        <v>125.161</v>
      </c>
      <c r="Q30" s="13">
        <f>SUMIF(Mercado_Receita!$S$2:$S$300,"44682B2ConvencionalRuralNão se aplicaNão se aplicaNão se aplicaPonta",Mercado_Receita!$L$2:$L$300)+SUMIF(Mercado_Receita!$S$2:$S$300,"44682B2ConvencionalRuralNão se aplicaNão se aplicaNão se aplicaFora ponta",Mercado_Receita!$L$2:$L$300)+SUMIF(Mercado_Receita!$S$2:$S$300,"44682B2ConvencionalRuralNão se aplicaNão se aplicaNão se aplicaIntermediário",Mercado_Receita!$L$2:$L$300)+SUMIF(Mercado_Receita!$S$2:$S$300,"44682B2ConvencionalRuralNão se aplicaNão se aplicaNão se aplicaNão se aplica",Mercado_Receita!$L$2:$L$300)</f>
        <v>117.699</v>
      </c>
      <c r="R30" s="13">
        <f>SUMIF(Mercado_Receita!$S$2:$S$300,"44713B2ConvencionalRuralNão se aplicaNão se aplicaNão se aplicaPonta",Mercado_Receita!$L$2:$L$300)+SUMIF(Mercado_Receita!$S$2:$S$300,"44713B2ConvencionalRuralNão se aplicaNão se aplicaNão se aplicaFora ponta",Mercado_Receita!$L$2:$L$300)+SUMIF(Mercado_Receita!$S$2:$S$300,"44713B2ConvencionalRuralNão se aplicaNão se aplicaNão se aplicaIntermediário",Mercado_Receita!$L$2:$L$300)+SUMIF(Mercado_Receita!$S$2:$S$300,"44713B2ConvencionalRuralNão se aplicaNão se aplicaNão se aplicaNão se aplica",Mercado_Receita!$L$2:$L$300)</f>
        <v>95.903000000000006</v>
      </c>
      <c r="S30" s="13">
        <f>SUMIF(Mercado_Receita!$S$2:$S$300,"44743B2ConvencionalRuralNão se aplicaNão se aplicaNão se aplicaPonta",Mercado_Receita!$L$2:$L$300)+SUMIF(Mercado_Receita!$S$2:$S$300,"44743B2ConvencionalRuralNão se aplicaNão se aplicaNão se aplicaFora ponta",Mercado_Receita!$L$2:$L$300)+SUMIF(Mercado_Receita!$S$2:$S$300,"44743B2ConvencionalRuralNão se aplicaNão se aplicaNão se aplicaIntermediário",Mercado_Receita!$L$2:$L$300)+SUMIF(Mercado_Receita!$S$2:$S$300,"44743B2ConvencionalRuralNão se aplicaNão se aplicaNão se aplicaNão se aplica",Mercado_Receita!$L$2:$L$300)</f>
        <v>101.13500000000001</v>
      </c>
      <c r="T30" s="13">
        <f>SUMIF(Mercado_Receita!$S$2:$S$300,"44774B2ConvencionalRuralNão se aplicaNão se aplicaNão se aplicaPonta",Mercado_Receita!$L$2:$L$300)+SUMIF(Mercado_Receita!$S$2:$S$300,"44774B2ConvencionalRuralNão se aplicaNão se aplicaNão se aplicaFora ponta",Mercado_Receita!$L$2:$L$300)+SUMIF(Mercado_Receita!$S$2:$S$300,"44774B2ConvencionalRuralNão se aplicaNão se aplicaNão se aplicaIntermediário",Mercado_Receita!$L$2:$L$300)+SUMIF(Mercado_Receita!$S$2:$S$300,"44774B2ConvencionalRuralNão se aplicaNão se aplicaNão se aplicaNão se aplica",Mercado_Receita!$L$2:$L$300)</f>
        <v>104.32000000000001</v>
      </c>
      <c r="U30" s="13">
        <f t="shared" si="0"/>
        <v>1383.9670000000001</v>
      </c>
      <c r="V30" s="13"/>
      <c r="W30" s="13"/>
    </row>
    <row r="31" spans="1:23" ht="11.25" customHeight="1" x14ac:dyDescent="0.3">
      <c r="A31" s="82"/>
      <c r="B31" s="81" t="s">
        <v>33</v>
      </c>
      <c r="C31" s="81" t="s">
        <v>42</v>
      </c>
      <c r="D31" s="81" t="s">
        <v>85</v>
      </c>
      <c r="E31" s="81" t="s">
        <v>25</v>
      </c>
      <c r="F31" s="81" t="s">
        <v>25</v>
      </c>
      <c r="G31" s="13" t="s">
        <v>69</v>
      </c>
      <c r="H31" s="13" t="s">
        <v>68</v>
      </c>
      <c r="I31" s="13">
        <f>SUMIF(Mercado_Receita!$S$2:$S$300,"44440B2BrancaRuralCooperativa de eletrificação ruralNão se aplicaNão se aplicaPonta",Mercado_Receita!$L$2:$L$300)</f>
        <v>0</v>
      </c>
      <c r="J31" s="13">
        <f>SUMIF(Mercado_Receita!$S$2:$S$300,"44470B2BrancaRuralCooperativa de eletrificação ruralNão se aplicaNão se aplicaPonta",Mercado_Receita!$L$2:$L$300)</f>
        <v>0</v>
      </c>
      <c r="K31" s="13">
        <f>SUMIF(Mercado_Receita!$S$2:$S$300,"44501B2BrancaRuralCooperativa de eletrificação ruralNão se aplicaNão se aplicaPonta",Mercado_Receita!$L$2:$L$300)</f>
        <v>0</v>
      </c>
      <c r="L31" s="13">
        <f>SUMIF(Mercado_Receita!$S$2:$S$300,"44531B2BrancaRuralCooperativa de eletrificação ruralNão se aplicaNão se aplicaPonta",Mercado_Receita!$L$2:$L$300)</f>
        <v>0</v>
      </c>
      <c r="M31" s="13">
        <f>SUMIF(Mercado_Receita!$S$2:$S$300,"44562B2BrancaRuralCooperativa de eletrificação ruralNão se aplicaNão se aplicaPonta",Mercado_Receita!$L$2:$L$300)</f>
        <v>0</v>
      </c>
      <c r="N31" s="13">
        <f>SUMIF(Mercado_Receita!$S$2:$S$300,"44593B2BrancaRuralCooperativa de eletrificação ruralNão se aplicaNão se aplicaPonta",Mercado_Receita!$L$2:$L$300)</f>
        <v>0</v>
      </c>
      <c r="O31" s="13">
        <f>SUMIF(Mercado_Receita!$S$2:$S$300,"44621B2BrancaRuralCooperativa de eletrificação ruralNão se aplicaNão se aplicaPonta",Mercado_Receita!$L$2:$L$300)</f>
        <v>0</v>
      </c>
      <c r="P31" s="13">
        <f>SUMIF(Mercado_Receita!$S$2:$S$300,"44652B2BrancaRuralCooperativa de eletrificação ruralNão se aplicaNão se aplicaPonta",Mercado_Receita!$L$2:$L$300)</f>
        <v>0</v>
      </c>
      <c r="Q31" s="13">
        <f>SUMIF(Mercado_Receita!$S$2:$S$300,"44682B2BrancaRuralCooperativa de eletrificação ruralNão se aplicaNão se aplicaPonta",Mercado_Receita!$L$2:$L$300)</f>
        <v>0</v>
      </c>
      <c r="R31" s="13">
        <f>SUMIF(Mercado_Receita!$S$2:$S$300,"44713B2BrancaRuralCooperativa de eletrificação ruralNão se aplicaNão se aplicaPonta",Mercado_Receita!$L$2:$L$300)</f>
        <v>0</v>
      </c>
      <c r="S31" s="13">
        <f>SUMIF(Mercado_Receita!$S$2:$S$300,"44743B2BrancaRuralCooperativa de eletrificação ruralNão se aplicaNão se aplicaPonta",Mercado_Receita!$L$2:$L$300)</f>
        <v>0</v>
      </c>
      <c r="T31" s="13">
        <f>SUMIF(Mercado_Receita!$S$2:$S$300,"44774B2BrancaRuralCooperativa de eletrificação ruralNão se aplicaNão se aplicaPonta",Mercado_Receita!$L$2:$L$300)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82"/>
      <c r="B32" s="82"/>
      <c r="C32" s="82"/>
      <c r="D32" s="82"/>
      <c r="E32" s="82"/>
      <c r="F32" s="82"/>
      <c r="G32" s="13" t="s">
        <v>82</v>
      </c>
      <c r="H32" s="13" t="s">
        <v>68</v>
      </c>
      <c r="I32" s="13">
        <f>SUMIF(Mercado_Receita!$S$2:$S$300,"44440B2BrancaRuralCooperativa de eletrificação ruralNão se aplicaNão se aplicaIntermediário",Mercado_Receita!$L$2:$L$300)</f>
        <v>0</v>
      </c>
      <c r="J32" s="13">
        <f>SUMIF(Mercado_Receita!$S$2:$S$300,"44470B2BrancaRuralCooperativa de eletrificação ruralNão se aplicaNão se aplicaIntermediário",Mercado_Receita!$L$2:$L$300)</f>
        <v>0</v>
      </c>
      <c r="K32" s="13">
        <f>SUMIF(Mercado_Receita!$S$2:$S$300,"44501B2BrancaRuralCooperativa de eletrificação ruralNão se aplicaNão se aplicaIntermediário",Mercado_Receita!$L$2:$L$300)</f>
        <v>0</v>
      </c>
      <c r="L32" s="13">
        <f>SUMIF(Mercado_Receita!$S$2:$S$300,"44531B2BrancaRuralCooperativa de eletrificação ruralNão se aplicaNão se aplicaIntermediário",Mercado_Receita!$L$2:$L$300)</f>
        <v>0</v>
      </c>
      <c r="M32" s="13">
        <f>SUMIF(Mercado_Receita!$S$2:$S$300,"44562B2BrancaRuralCooperativa de eletrificação ruralNão se aplicaNão se aplicaIntermediário",Mercado_Receita!$L$2:$L$300)</f>
        <v>0</v>
      </c>
      <c r="N32" s="13">
        <f>SUMIF(Mercado_Receita!$S$2:$S$300,"44593B2BrancaRuralCooperativa de eletrificação ruralNão se aplicaNão se aplicaIntermediário",Mercado_Receita!$L$2:$L$300)</f>
        <v>0</v>
      </c>
      <c r="O32" s="13">
        <f>SUMIF(Mercado_Receita!$S$2:$S$300,"44621B2BrancaRuralCooperativa de eletrificação ruralNão se aplicaNão se aplicaIntermediário",Mercado_Receita!$L$2:$L$300)</f>
        <v>0</v>
      </c>
      <c r="P32" s="13">
        <f>SUMIF(Mercado_Receita!$S$2:$S$300,"44652B2BrancaRuralCooperativa de eletrificação ruralNão se aplicaNão se aplicaIntermediário",Mercado_Receita!$L$2:$L$300)</f>
        <v>0</v>
      </c>
      <c r="Q32" s="13">
        <f>SUMIF(Mercado_Receita!$S$2:$S$300,"44682B2BrancaRuralCooperativa de eletrificação ruralNão se aplicaNão se aplicaIntermediário",Mercado_Receita!$L$2:$L$300)</f>
        <v>0</v>
      </c>
      <c r="R32" s="13">
        <f>SUMIF(Mercado_Receita!$S$2:$S$300,"44713B2BrancaRuralCooperativa de eletrificação ruralNão se aplicaNão se aplicaIntermediário",Mercado_Receita!$L$2:$L$300)</f>
        <v>0</v>
      </c>
      <c r="S32" s="13">
        <f>SUMIF(Mercado_Receita!$S$2:$S$300,"44743B2BrancaRuralCooperativa de eletrificação ruralNão se aplicaNão se aplicaIntermediário",Mercado_Receita!$L$2:$L$300)</f>
        <v>0</v>
      </c>
      <c r="T32" s="13">
        <f>SUMIF(Mercado_Receita!$S$2:$S$300,"44774B2BrancaRuralCooperativa de eletrificação ruralNão se aplicaNão se aplicaIntermediário",Mercado_Receita!$L$2:$L$300)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82"/>
      <c r="B33" s="82"/>
      <c r="C33" s="82"/>
      <c r="D33" s="82"/>
      <c r="E33" s="82"/>
      <c r="F33" s="82"/>
      <c r="G33" s="13" t="s">
        <v>70</v>
      </c>
      <c r="H33" s="13" t="s">
        <v>68</v>
      </c>
      <c r="I33" s="13">
        <f>SUMIF(Mercado_Receita!$S$2:$S$300,"44440B2BrancaRuralCooperativa de eletrificação ruralNão se aplicaNão se aplicaFora ponta",Mercado_Receita!$L$2:$L$300)</f>
        <v>0</v>
      </c>
      <c r="J33" s="13">
        <f>SUMIF(Mercado_Receita!$S$2:$S$300,"44470B2BrancaRuralCooperativa de eletrificação ruralNão se aplicaNão se aplicaFora ponta",Mercado_Receita!$L$2:$L$300)</f>
        <v>0</v>
      </c>
      <c r="K33" s="13">
        <f>SUMIF(Mercado_Receita!$S$2:$S$300,"44501B2BrancaRuralCooperativa de eletrificação ruralNão se aplicaNão se aplicaFora ponta",Mercado_Receita!$L$2:$L$300)</f>
        <v>0</v>
      </c>
      <c r="L33" s="13">
        <f>SUMIF(Mercado_Receita!$S$2:$S$300,"44531B2BrancaRuralCooperativa de eletrificação ruralNão se aplicaNão se aplicaFora ponta",Mercado_Receita!$L$2:$L$300)</f>
        <v>0</v>
      </c>
      <c r="M33" s="13">
        <f>SUMIF(Mercado_Receita!$S$2:$S$300,"44562B2BrancaRuralCooperativa de eletrificação ruralNão se aplicaNão se aplicaFora ponta",Mercado_Receita!$L$2:$L$300)</f>
        <v>0</v>
      </c>
      <c r="N33" s="13">
        <f>SUMIF(Mercado_Receita!$S$2:$S$300,"44593B2BrancaRuralCooperativa de eletrificação ruralNão se aplicaNão se aplicaFora ponta",Mercado_Receita!$L$2:$L$300)</f>
        <v>0</v>
      </c>
      <c r="O33" s="13">
        <f>SUMIF(Mercado_Receita!$S$2:$S$300,"44621B2BrancaRuralCooperativa de eletrificação ruralNão se aplicaNão se aplicaFora ponta",Mercado_Receita!$L$2:$L$300)</f>
        <v>0</v>
      </c>
      <c r="P33" s="13">
        <f>SUMIF(Mercado_Receita!$S$2:$S$300,"44652B2BrancaRuralCooperativa de eletrificação ruralNão se aplicaNão se aplicaFora ponta",Mercado_Receita!$L$2:$L$300)</f>
        <v>0</v>
      </c>
      <c r="Q33" s="13">
        <f>SUMIF(Mercado_Receita!$S$2:$S$300,"44682B2BrancaRuralCooperativa de eletrificação ruralNão se aplicaNão se aplicaFora ponta",Mercado_Receita!$L$2:$L$300)</f>
        <v>0</v>
      </c>
      <c r="R33" s="13">
        <f>SUMIF(Mercado_Receita!$S$2:$S$300,"44713B2BrancaRuralCooperativa de eletrificação ruralNão se aplicaNão se aplicaFora ponta",Mercado_Receita!$L$2:$L$300)</f>
        <v>0</v>
      </c>
      <c r="S33" s="13">
        <f>SUMIF(Mercado_Receita!$S$2:$S$300,"44743B2BrancaRuralCooperativa de eletrificação ruralNão se aplicaNão se aplicaFora ponta",Mercado_Receita!$L$2:$L$300)</f>
        <v>0</v>
      </c>
      <c r="T33" s="13">
        <f>SUMIF(Mercado_Receita!$S$2:$S$300,"44774B2BrancaRuralCooperativa de eletrificação ruralNão se aplicaNão se aplicaFora ponta",Mercado_Receita!$L$2:$L$300)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82"/>
      <c r="B34" s="12" t="s">
        <v>23</v>
      </c>
      <c r="C34" s="12" t="s">
        <v>42</v>
      </c>
      <c r="D34" s="12" t="s">
        <v>85</v>
      </c>
      <c r="E34" s="12" t="s">
        <v>25</v>
      </c>
      <c r="F34" s="12" t="s">
        <v>25</v>
      </c>
      <c r="G34" s="13" t="s">
        <v>72</v>
      </c>
      <c r="H34" s="13" t="s">
        <v>68</v>
      </c>
      <c r="I34" s="13">
        <f>SUMIF(Mercado_Receita!$S$2:$S$300,"44440B2ConvencionalRuralCooperativa de eletrificação ruralNão se aplicaNão se aplicaPonta",Mercado_Receita!$L$2:$L$300)+SUMIF(Mercado_Receita!$S$2:$S$300,"44440B2ConvencionalRuralCooperativa de eletrificação ruralNão se aplicaNão se aplicaFora ponta",Mercado_Receita!$L$2:$L$300)+SUMIF(Mercado_Receita!$S$2:$S$300,"44440B2ConvencionalRuralCooperativa de eletrificação ruralNão se aplicaNão se aplicaIntermediário",Mercado_Receita!$L$2:$L$300)+SUMIF(Mercado_Receita!$S$2:$S$300,"44440B2ConvencionalRuralCooperativa de eletrificação ruralNão se aplicaNão se aplicaNão se aplica",Mercado_Receita!$L$2:$L$300)</f>
        <v>0</v>
      </c>
      <c r="J34" s="13">
        <f>SUMIF(Mercado_Receita!$S$2:$S$300,"44470B2ConvencionalRuralCooperativa de eletrificação ruralNão se aplicaNão se aplicaPonta",Mercado_Receita!$L$2:$L$300)+SUMIF(Mercado_Receita!$S$2:$S$300,"44470B2ConvencionalRuralCooperativa de eletrificação ruralNão se aplicaNão se aplicaFora ponta",Mercado_Receita!$L$2:$L$300)+SUMIF(Mercado_Receita!$S$2:$S$300,"44470B2ConvencionalRuralCooperativa de eletrificação ruralNão se aplicaNão se aplicaIntermediário",Mercado_Receita!$L$2:$L$300)+SUMIF(Mercado_Receita!$S$2:$S$300,"44470B2ConvencionalRuralCooperativa de eletrificação ruralNão se aplicaNão se aplicaNão se aplica",Mercado_Receita!$L$2:$L$300)</f>
        <v>0</v>
      </c>
      <c r="K34" s="13">
        <f>SUMIF(Mercado_Receita!$S$2:$S$300,"44501B2ConvencionalRuralCooperativa de eletrificação ruralNão se aplicaNão se aplicaPonta",Mercado_Receita!$L$2:$L$300)+SUMIF(Mercado_Receita!$S$2:$S$300,"44501B2ConvencionalRuralCooperativa de eletrificação ruralNão se aplicaNão se aplicaFora ponta",Mercado_Receita!$L$2:$L$300)+SUMIF(Mercado_Receita!$S$2:$S$300,"44501B2ConvencionalRuralCooperativa de eletrificação ruralNão se aplicaNão se aplicaIntermediário",Mercado_Receita!$L$2:$L$300)+SUMIF(Mercado_Receita!$S$2:$S$300,"44501B2ConvencionalRuralCooperativa de eletrificação ruralNão se aplicaNão se aplicaNão se aplica",Mercado_Receita!$L$2:$L$300)</f>
        <v>0</v>
      </c>
      <c r="L34" s="13">
        <f>SUMIF(Mercado_Receita!$S$2:$S$300,"44531B2ConvencionalRuralCooperativa de eletrificação ruralNão se aplicaNão se aplicaPonta",Mercado_Receita!$L$2:$L$300)+SUMIF(Mercado_Receita!$S$2:$S$300,"44531B2ConvencionalRuralCooperativa de eletrificação ruralNão se aplicaNão se aplicaFora ponta",Mercado_Receita!$L$2:$L$300)+SUMIF(Mercado_Receita!$S$2:$S$300,"44531B2ConvencionalRuralCooperativa de eletrificação ruralNão se aplicaNão se aplicaIntermediário",Mercado_Receita!$L$2:$L$300)+SUMIF(Mercado_Receita!$S$2:$S$300,"44531B2ConvencionalRuralCooperativa de eletrificação ruralNão se aplicaNão se aplicaNão se aplica",Mercado_Receita!$L$2:$L$300)</f>
        <v>0</v>
      </c>
      <c r="M34" s="13">
        <f>SUMIF(Mercado_Receita!$S$2:$S$300,"44562B2ConvencionalRuralCooperativa de eletrificação ruralNão se aplicaNão se aplicaPonta",Mercado_Receita!$L$2:$L$300)+SUMIF(Mercado_Receita!$S$2:$S$300,"44562B2ConvencionalRuralCooperativa de eletrificação ruralNão se aplicaNão se aplicaFora ponta",Mercado_Receita!$L$2:$L$300)+SUMIF(Mercado_Receita!$S$2:$S$300,"44562B2ConvencionalRuralCooperativa de eletrificação ruralNão se aplicaNão se aplicaIntermediário",Mercado_Receita!$L$2:$L$300)+SUMIF(Mercado_Receita!$S$2:$S$300,"44562B2ConvencionalRuralCooperativa de eletrificação ruralNão se aplicaNão se aplicaNão se aplica",Mercado_Receita!$L$2:$L$300)</f>
        <v>0</v>
      </c>
      <c r="N34" s="13">
        <f>SUMIF(Mercado_Receita!$S$2:$S$300,"44593B2ConvencionalRuralCooperativa de eletrificação ruralNão se aplicaNão se aplicaPonta",Mercado_Receita!$L$2:$L$300)+SUMIF(Mercado_Receita!$S$2:$S$300,"44593B2ConvencionalRuralCooperativa de eletrificação ruralNão se aplicaNão se aplicaFora ponta",Mercado_Receita!$L$2:$L$300)+SUMIF(Mercado_Receita!$S$2:$S$300,"44593B2ConvencionalRuralCooperativa de eletrificação ruralNão se aplicaNão se aplicaIntermediário",Mercado_Receita!$L$2:$L$300)+SUMIF(Mercado_Receita!$S$2:$S$300,"44593B2ConvencionalRuralCooperativa de eletrificação ruralNão se aplicaNão se aplicaNão se aplica",Mercado_Receita!$L$2:$L$300)</f>
        <v>0</v>
      </c>
      <c r="O34" s="13">
        <f>SUMIF(Mercado_Receita!$S$2:$S$300,"44621B2ConvencionalRuralCooperativa de eletrificação ruralNão se aplicaNão se aplicaPonta",Mercado_Receita!$L$2:$L$300)+SUMIF(Mercado_Receita!$S$2:$S$300,"44621B2ConvencionalRuralCooperativa de eletrificação ruralNão se aplicaNão se aplicaFora ponta",Mercado_Receita!$L$2:$L$300)+SUMIF(Mercado_Receita!$S$2:$S$300,"44621B2ConvencionalRuralCooperativa de eletrificação ruralNão se aplicaNão se aplicaIntermediário",Mercado_Receita!$L$2:$L$300)+SUMIF(Mercado_Receita!$S$2:$S$300,"44621B2ConvencionalRuralCooperativa de eletrificação ruralNão se aplicaNão se aplicaNão se aplica",Mercado_Receita!$L$2:$L$300)</f>
        <v>0</v>
      </c>
      <c r="P34" s="13">
        <f>SUMIF(Mercado_Receita!$S$2:$S$300,"44652B2ConvencionalRuralCooperativa de eletrificação ruralNão se aplicaNão se aplicaPonta",Mercado_Receita!$L$2:$L$300)+SUMIF(Mercado_Receita!$S$2:$S$300,"44652B2ConvencionalRuralCooperativa de eletrificação ruralNão se aplicaNão se aplicaFora ponta",Mercado_Receita!$L$2:$L$300)+SUMIF(Mercado_Receita!$S$2:$S$300,"44652B2ConvencionalRuralCooperativa de eletrificação ruralNão se aplicaNão se aplicaIntermediário",Mercado_Receita!$L$2:$L$300)+SUMIF(Mercado_Receita!$S$2:$S$300,"44652B2ConvencionalRuralCooperativa de eletrificação ruralNão se aplicaNão se aplicaNão se aplica",Mercado_Receita!$L$2:$L$300)</f>
        <v>0</v>
      </c>
      <c r="Q34" s="13">
        <f>SUMIF(Mercado_Receita!$S$2:$S$300,"44682B2ConvencionalRuralCooperativa de eletrificação ruralNão se aplicaNão se aplicaPonta",Mercado_Receita!$L$2:$L$300)+SUMIF(Mercado_Receita!$S$2:$S$300,"44682B2ConvencionalRuralCooperativa de eletrificação ruralNão se aplicaNão se aplicaFora ponta",Mercado_Receita!$L$2:$L$300)+SUMIF(Mercado_Receita!$S$2:$S$300,"44682B2ConvencionalRuralCooperativa de eletrificação ruralNão se aplicaNão se aplicaIntermediário",Mercado_Receita!$L$2:$L$300)+SUMIF(Mercado_Receita!$S$2:$S$300,"44682B2ConvencionalRuralCooperativa de eletrificação ruralNão se aplicaNão se aplicaNão se aplica",Mercado_Receita!$L$2:$L$300)</f>
        <v>0</v>
      </c>
      <c r="R34" s="13">
        <f>SUMIF(Mercado_Receita!$S$2:$S$300,"44713B2ConvencionalRuralCooperativa de eletrificação ruralNão se aplicaNão se aplicaPonta",Mercado_Receita!$L$2:$L$300)+SUMIF(Mercado_Receita!$S$2:$S$300,"44713B2ConvencionalRuralCooperativa de eletrificação ruralNão se aplicaNão se aplicaFora ponta",Mercado_Receita!$L$2:$L$300)+SUMIF(Mercado_Receita!$S$2:$S$300,"44713B2ConvencionalRuralCooperativa de eletrificação ruralNão se aplicaNão se aplicaIntermediário",Mercado_Receita!$L$2:$L$300)+SUMIF(Mercado_Receita!$S$2:$S$300,"44713B2ConvencionalRuralCooperativa de eletrificação ruralNão se aplicaNão se aplicaNão se aplica",Mercado_Receita!$L$2:$L$300)</f>
        <v>0</v>
      </c>
      <c r="S34" s="13">
        <f>SUMIF(Mercado_Receita!$S$2:$S$300,"44743B2ConvencionalRuralCooperativa de eletrificação ruralNão se aplicaNão se aplicaPonta",Mercado_Receita!$L$2:$L$300)+SUMIF(Mercado_Receita!$S$2:$S$300,"44743B2ConvencionalRuralCooperativa de eletrificação ruralNão se aplicaNão se aplicaFora ponta",Mercado_Receita!$L$2:$L$300)+SUMIF(Mercado_Receita!$S$2:$S$300,"44743B2ConvencionalRuralCooperativa de eletrificação ruralNão se aplicaNão se aplicaIntermediário",Mercado_Receita!$L$2:$L$300)+SUMIF(Mercado_Receita!$S$2:$S$300,"44743B2ConvencionalRuralCooperativa de eletrificação ruralNão se aplicaNão se aplicaNão se aplica",Mercado_Receita!$L$2:$L$300)</f>
        <v>0</v>
      </c>
      <c r="T34" s="13">
        <f>SUMIF(Mercado_Receita!$S$2:$S$300,"44774B2ConvencionalRuralCooperativa de eletrificação ruralNão se aplicaNão se aplicaPonta",Mercado_Receita!$L$2:$L$300)+SUMIF(Mercado_Receita!$S$2:$S$300,"44774B2ConvencionalRuralCooperativa de eletrificação ruralNão se aplicaNão se aplicaFora ponta",Mercado_Receita!$L$2:$L$300)+SUMIF(Mercado_Receita!$S$2:$S$300,"44774B2ConvencionalRuralCooperativa de eletrificação ruralNão se aplicaNão se aplicaIntermediário",Mercado_Receita!$L$2:$L$300)+SUMIF(Mercado_Receita!$S$2:$S$300,"44774B2ConvencionalRuralCooperativa de eletrificação ruralNão se aplicaNão se aplicaNão se aplica",Mercado_Receita!$L$2:$L$300)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82"/>
      <c r="B35" s="81" t="s">
        <v>33</v>
      </c>
      <c r="C35" s="81" t="s">
        <v>42</v>
      </c>
      <c r="D35" s="81" t="s">
        <v>86</v>
      </c>
      <c r="E35" s="81" t="s">
        <v>25</v>
      </c>
      <c r="F35" s="81" t="s">
        <v>25</v>
      </c>
      <c r="G35" s="13" t="s">
        <v>69</v>
      </c>
      <c r="H35" s="13" t="s">
        <v>68</v>
      </c>
      <c r="I35" s="13">
        <f>SUMIF(Mercado_Receita!$S$2:$S$300,"44440B2BrancaRuralServiço público de irrigação ruralNão se aplicaNão se aplicaPonta",Mercado_Receita!$L$2:$L$300)</f>
        <v>0</v>
      </c>
      <c r="J35" s="13">
        <f>SUMIF(Mercado_Receita!$S$2:$S$300,"44470B2BrancaRuralServiço público de irrigação ruralNão se aplicaNão se aplicaPonta",Mercado_Receita!$L$2:$L$300)</f>
        <v>0</v>
      </c>
      <c r="K35" s="13">
        <f>SUMIF(Mercado_Receita!$S$2:$S$300,"44501B2BrancaRuralServiço público de irrigação ruralNão se aplicaNão se aplicaPonta",Mercado_Receita!$L$2:$L$300)</f>
        <v>0</v>
      </c>
      <c r="L35" s="13">
        <f>SUMIF(Mercado_Receita!$S$2:$S$300,"44531B2BrancaRuralServiço público de irrigação ruralNão se aplicaNão se aplicaPonta",Mercado_Receita!$L$2:$L$300)</f>
        <v>0</v>
      </c>
      <c r="M35" s="13">
        <f>SUMIF(Mercado_Receita!$S$2:$S$300,"44562B2BrancaRuralServiço público de irrigação ruralNão se aplicaNão se aplicaPonta",Mercado_Receita!$L$2:$L$300)</f>
        <v>0</v>
      </c>
      <c r="N35" s="13">
        <f>SUMIF(Mercado_Receita!$S$2:$S$300,"44593B2BrancaRuralServiço público de irrigação ruralNão se aplicaNão se aplicaPonta",Mercado_Receita!$L$2:$L$300)</f>
        <v>0</v>
      </c>
      <c r="O35" s="13">
        <f>SUMIF(Mercado_Receita!$S$2:$S$300,"44621B2BrancaRuralServiço público de irrigação ruralNão se aplicaNão se aplicaPonta",Mercado_Receita!$L$2:$L$300)</f>
        <v>0</v>
      </c>
      <c r="P35" s="13">
        <f>SUMIF(Mercado_Receita!$S$2:$S$300,"44652B2BrancaRuralServiço público de irrigação ruralNão se aplicaNão se aplicaPonta",Mercado_Receita!$L$2:$L$300)</f>
        <v>0</v>
      </c>
      <c r="Q35" s="13">
        <f>SUMIF(Mercado_Receita!$S$2:$S$300,"44682B2BrancaRuralServiço público de irrigação ruralNão se aplicaNão se aplicaPonta",Mercado_Receita!$L$2:$L$300)</f>
        <v>0</v>
      </c>
      <c r="R35" s="13">
        <f>SUMIF(Mercado_Receita!$S$2:$S$300,"44713B2BrancaRuralServiço público de irrigação ruralNão se aplicaNão se aplicaPonta",Mercado_Receita!$L$2:$L$300)</f>
        <v>0</v>
      </c>
      <c r="S35" s="13">
        <f>SUMIF(Mercado_Receita!$S$2:$S$300,"44743B2BrancaRuralServiço público de irrigação ruralNão se aplicaNão se aplicaPonta",Mercado_Receita!$L$2:$L$300)</f>
        <v>0</v>
      </c>
      <c r="T35" s="13">
        <f>SUMIF(Mercado_Receita!$S$2:$S$300,"44774B2BrancaRuralServiço público de irrigação ruralNão se aplicaNão se aplicaPonta",Mercado_Receita!$L$2:$L$300)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82"/>
      <c r="B36" s="82"/>
      <c r="C36" s="82"/>
      <c r="D36" s="82"/>
      <c r="E36" s="82"/>
      <c r="F36" s="82"/>
      <c r="G36" s="13" t="s">
        <v>82</v>
      </c>
      <c r="H36" s="13" t="s">
        <v>68</v>
      </c>
      <c r="I36" s="13">
        <f>SUMIF(Mercado_Receita!$S$2:$S$300,"44440B2BrancaRuralServiço público de irrigação ruralNão se aplicaNão se aplicaIntermediário",Mercado_Receita!$L$2:$L$300)</f>
        <v>0</v>
      </c>
      <c r="J36" s="13">
        <f>SUMIF(Mercado_Receita!$S$2:$S$300,"44470B2BrancaRuralServiço público de irrigação ruralNão se aplicaNão se aplicaIntermediário",Mercado_Receita!$L$2:$L$300)</f>
        <v>0</v>
      </c>
      <c r="K36" s="13">
        <f>SUMIF(Mercado_Receita!$S$2:$S$300,"44501B2BrancaRuralServiço público de irrigação ruralNão se aplicaNão se aplicaIntermediário",Mercado_Receita!$L$2:$L$300)</f>
        <v>0</v>
      </c>
      <c r="L36" s="13">
        <f>SUMIF(Mercado_Receita!$S$2:$S$300,"44531B2BrancaRuralServiço público de irrigação ruralNão se aplicaNão se aplicaIntermediário",Mercado_Receita!$L$2:$L$300)</f>
        <v>0</v>
      </c>
      <c r="M36" s="13">
        <f>SUMIF(Mercado_Receita!$S$2:$S$300,"44562B2BrancaRuralServiço público de irrigação ruralNão se aplicaNão se aplicaIntermediário",Mercado_Receita!$L$2:$L$300)</f>
        <v>0</v>
      </c>
      <c r="N36" s="13">
        <f>SUMIF(Mercado_Receita!$S$2:$S$300,"44593B2BrancaRuralServiço público de irrigação ruralNão se aplicaNão se aplicaIntermediário",Mercado_Receita!$L$2:$L$300)</f>
        <v>0</v>
      </c>
      <c r="O36" s="13">
        <f>SUMIF(Mercado_Receita!$S$2:$S$300,"44621B2BrancaRuralServiço público de irrigação ruralNão se aplicaNão se aplicaIntermediário",Mercado_Receita!$L$2:$L$300)</f>
        <v>0</v>
      </c>
      <c r="P36" s="13">
        <f>SUMIF(Mercado_Receita!$S$2:$S$300,"44652B2BrancaRuralServiço público de irrigação ruralNão se aplicaNão se aplicaIntermediário",Mercado_Receita!$L$2:$L$300)</f>
        <v>0</v>
      </c>
      <c r="Q36" s="13">
        <f>SUMIF(Mercado_Receita!$S$2:$S$300,"44682B2BrancaRuralServiço público de irrigação ruralNão se aplicaNão se aplicaIntermediário",Mercado_Receita!$L$2:$L$300)</f>
        <v>0</v>
      </c>
      <c r="R36" s="13">
        <f>SUMIF(Mercado_Receita!$S$2:$S$300,"44713B2BrancaRuralServiço público de irrigação ruralNão se aplicaNão se aplicaIntermediário",Mercado_Receita!$L$2:$L$300)</f>
        <v>0</v>
      </c>
      <c r="S36" s="13">
        <f>SUMIF(Mercado_Receita!$S$2:$S$300,"44743B2BrancaRuralServiço público de irrigação ruralNão se aplicaNão se aplicaIntermediário",Mercado_Receita!$L$2:$L$300)</f>
        <v>0</v>
      </c>
      <c r="T36" s="13">
        <f>SUMIF(Mercado_Receita!$S$2:$S$300,"44774B2BrancaRuralServiço público de irrigação ruralNão se aplicaNão se aplicaIntermediário",Mercado_Receita!$L$2:$L$300)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82"/>
      <c r="B37" s="82"/>
      <c r="C37" s="82"/>
      <c r="D37" s="82"/>
      <c r="E37" s="82"/>
      <c r="F37" s="82"/>
      <c r="G37" s="13" t="s">
        <v>70</v>
      </c>
      <c r="H37" s="13" t="s">
        <v>68</v>
      </c>
      <c r="I37" s="13">
        <f>SUMIF(Mercado_Receita!$S$2:$S$300,"44440B2BrancaRuralServiço público de irrigação ruralNão se aplicaNão se aplicaFora ponta",Mercado_Receita!$L$2:$L$300)</f>
        <v>0</v>
      </c>
      <c r="J37" s="13">
        <f>SUMIF(Mercado_Receita!$S$2:$S$300,"44470B2BrancaRuralServiço público de irrigação ruralNão se aplicaNão se aplicaFora ponta",Mercado_Receita!$L$2:$L$300)</f>
        <v>0</v>
      </c>
      <c r="K37" s="13">
        <f>SUMIF(Mercado_Receita!$S$2:$S$300,"44501B2BrancaRuralServiço público de irrigação ruralNão se aplicaNão se aplicaFora ponta",Mercado_Receita!$L$2:$L$300)</f>
        <v>0</v>
      </c>
      <c r="L37" s="13">
        <f>SUMIF(Mercado_Receita!$S$2:$S$300,"44531B2BrancaRuralServiço público de irrigação ruralNão se aplicaNão se aplicaFora ponta",Mercado_Receita!$L$2:$L$300)</f>
        <v>0</v>
      </c>
      <c r="M37" s="13">
        <f>SUMIF(Mercado_Receita!$S$2:$S$300,"44562B2BrancaRuralServiço público de irrigação ruralNão se aplicaNão se aplicaFora ponta",Mercado_Receita!$L$2:$L$300)</f>
        <v>0</v>
      </c>
      <c r="N37" s="13">
        <f>SUMIF(Mercado_Receita!$S$2:$S$300,"44593B2BrancaRuralServiço público de irrigação ruralNão se aplicaNão se aplicaFora ponta",Mercado_Receita!$L$2:$L$300)</f>
        <v>0</v>
      </c>
      <c r="O37" s="13">
        <f>SUMIF(Mercado_Receita!$S$2:$S$300,"44621B2BrancaRuralServiço público de irrigação ruralNão se aplicaNão se aplicaFora ponta",Mercado_Receita!$L$2:$L$300)</f>
        <v>0</v>
      </c>
      <c r="P37" s="13">
        <f>SUMIF(Mercado_Receita!$S$2:$S$300,"44652B2BrancaRuralServiço público de irrigação ruralNão se aplicaNão se aplicaFora ponta",Mercado_Receita!$L$2:$L$300)</f>
        <v>0</v>
      </c>
      <c r="Q37" s="13">
        <f>SUMIF(Mercado_Receita!$S$2:$S$300,"44682B2BrancaRuralServiço público de irrigação ruralNão se aplicaNão se aplicaFora ponta",Mercado_Receita!$L$2:$L$300)</f>
        <v>0</v>
      </c>
      <c r="R37" s="13">
        <f>SUMIF(Mercado_Receita!$S$2:$S$300,"44713B2BrancaRuralServiço público de irrigação ruralNão se aplicaNão se aplicaFora ponta",Mercado_Receita!$L$2:$L$300)</f>
        <v>0</v>
      </c>
      <c r="S37" s="13">
        <f>SUMIF(Mercado_Receita!$S$2:$S$300,"44743B2BrancaRuralServiço público de irrigação ruralNão se aplicaNão se aplicaFora ponta",Mercado_Receita!$L$2:$L$300)</f>
        <v>0</v>
      </c>
      <c r="T37" s="13">
        <f>SUMIF(Mercado_Receita!$S$2:$S$300,"44774B2BrancaRuralServiço público de irrigação ruralNão se aplicaNão se aplicaFora ponta",Mercado_Receita!$L$2:$L$300)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82"/>
      <c r="B38" s="12" t="s">
        <v>23</v>
      </c>
      <c r="C38" s="12" t="s">
        <v>42</v>
      </c>
      <c r="D38" s="12" t="s">
        <v>86</v>
      </c>
      <c r="E38" s="12" t="s">
        <v>25</v>
      </c>
      <c r="F38" s="12" t="s">
        <v>25</v>
      </c>
      <c r="G38" s="13" t="s">
        <v>72</v>
      </c>
      <c r="H38" s="13" t="s">
        <v>68</v>
      </c>
      <c r="I38" s="13">
        <f>SUMIF(Mercado_Receita!$S$2:$S$300,"44440B2ConvencionalRuralServiço público de irrigação ruralNão se aplicaNão se aplicaPonta",Mercado_Receita!$L$2:$L$300)+SUMIF(Mercado_Receita!$S$2:$S$300,"44440B2ConvencionalRuralServiço público de irrigação ruralNão se aplicaNão se aplicaFora ponta",Mercado_Receita!$L$2:$L$300)+SUMIF(Mercado_Receita!$S$2:$S$300,"44440B2ConvencionalRuralServiço público de irrigação ruralNão se aplicaNão se aplicaIntermediário",Mercado_Receita!$L$2:$L$300)+SUMIF(Mercado_Receita!$S$2:$S$300,"44440B2ConvencionalRuralServiço público de irrigação ruralNão se aplicaNão se aplicaNão se aplica",Mercado_Receita!$L$2:$L$300)</f>
        <v>0</v>
      </c>
      <c r="J38" s="13">
        <f>SUMIF(Mercado_Receita!$S$2:$S$300,"44470B2ConvencionalRuralServiço público de irrigação ruralNão se aplicaNão se aplicaPonta",Mercado_Receita!$L$2:$L$300)+SUMIF(Mercado_Receita!$S$2:$S$300,"44470B2ConvencionalRuralServiço público de irrigação ruralNão se aplicaNão se aplicaFora ponta",Mercado_Receita!$L$2:$L$300)+SUMIF(Mercado_Receita!$S$2:$S$300,"44470B2ConvencionalRuralServiço público de irrigação ruralNão se aplicaNão se aplicaIntermediário",Mercado_Receita!$L$2:$L$300)+SUMIF(Mercado_Receita!$S$2:$S$300,"44470B2ConvencionalRuralServiço público de irrigação ruralNão se aplicaNão se aplicaNão se aplica",Mercado_Receita!$L$2:$L$300)</f>
        <v>0</v>
      </c>
      <c r="K38" s="13">
        <f>SUMIF(Mercado_Receita!$S$2:$S$300,"44501B2ConvencionalRuralServiço público de irrigação ruralNão se aplicaNão se aplicaPonta",Mercado_Receita!$L$2:$L$300)+SUMIF(Mercado_Receita!$S$2:$S$300,"44501B2ConvencionalRuralServiço público de irrigação ruralNão se aplicaNão se aplicaFora ponta",Mercado_Receita!$L$2:$L$300)+SUMIF(Mercado_Receita!$S$2:$S$300,"44501B2ConvencionalRuralServiço público de irrigação ruralNão se aplicaNão se aplicaIntermediário",Mercado_Receita!$L$2:$L$300)+SUMIF(Mercado_Receita!$S$2:$S$300,"44501B2ConvencionalRuralServiço público de irrigação ruralNão se aplicaNão se aplicaNão se aplica",Mercado_Receita!$L$2:$L$300)</f>
        <v>0</v>
      </c>
      <c r="L38" s="13">
        <f>SUMIF(Mercado_Receita!$S$2:$S$300,"44531B2ConvencionalRuralServiço público de irrigação ruralNão se aplicaNão se aplicaPonta",Mercado_Receita!$L$2:$L$300)+SUMIF(Mercado_Receita!$S$2:$S$300,"44531B2ConvencionalRuralServiço público de irrigação ruralNão se aplicaNão se aplicaFora ponta",Mercado_Receita!$L$2:$L$300)+SUMIF(Mercado_Receita!$S$2:$S$300,"44531B2ConvencionalRuralServiço público de irrigação ruralNão se aplicaNão se aplicaIntermediário",Mercado_Receita!$L$2:$L$300)+SUMIF(Mercado_Receita!$S$2:$S$300,"44531B2ConvencionalRuralServiço público de irrigação ruralNão se aplicaNão se aplicaNão se aplica",Mercado_Receita!$L$2:$L$300)</f>
        <v>0</v>
      </c>
      <c r="M38" s="13">
        <f>SUMIF(Mercado_Receita!$S$2:$S$300,"44562B2ConvencionalRuralServiço público de irrigação ruralNão se aplicaNão se aplicaPonta",Mercado_Receita!$L$2:$L$300)+SUMIF(Mercado_Receita!$S$2:$S$300,"44562B2ConvencionalRuralServiço público de irrigação ruralNão se aplicaNão se aplicaFora ponta",Mercado_Receita!$L$2:$L$300)+SUMIF(Mercado_Receita!$S$2:$S$300,"44562B2ConvencionalRuralServiço público de irrigação ruralNão se aplicaNão se aplicaIntermediário",Mercado_Receita!$L$2:$L$300)+SUMIF(Mercado_Receita!$S$2:$S$300,"44562B2ConvencionalRuralServiço público de irrigação ruralNão se aplicaNão se aplicaNão se aplica",Mercado_Receita!$L$2:$L$300)</f>
        <v>0</v>
      </c>
      <c r="N38" s="13">
        <f>SUMIF(Mercado_Receita!$S$2:$S$300,"44593B2ConvencionalRuralServiço público de irrigação ruralNão se aplicaNão se aplicaPonta",Mercado_Receita!$L$2:$L$300)+SUMIF(Mercado_Receita!$S$2:$S$300,"44593B2ConvencionalRuralServiço público de irrigação ruralNão se aplicaNão se aplicaFora ponta",Mercado_Receita!$L$2:$L$300)+SUMIF(Mercado_Receita!$S$2:$S$300,"44593B2ConvencionalRuralServiço público de irrigação ruralNão se aplicaNão se aplicaIntermediário",Mercado_Receita!$L$2:$L$300)+SUMIF(Mercado_Receita!$S$2:$S$300,"44593B2ConvencionalRuralServiço público de irrigação ruralNão se aplicaNão se aplicaNão se aplica",Mercado_Receita!$L$2:$L$300)</f>
        <v>0</v>
      </c>
      <c r="O38" s="13">
        <f>SUMIF(Mercado_Receita!$S$2:$S$300,"44621B2ConvencionalRuralServiço público de irrigação ruralNão se aplicaNão se aplicaPonta",Mercado_Receita!$L$2:$L$300)+SUMIF(Mercado_Receita!$S$2:$S$300,"44621B2ConvencionalRuralServiço público de irrigação ruralNão se aplicaNão se aplicaFora ponta",Mercado_Receita!$L$2:$L$300)+SUMIF(Mercado_Receita!$S$2:$S$300,"44621B2ConvencionalRuralServiço público de irrigação ruralNão se aplicaNão se aplicaIntermediário",Mercado_Receita!$L$2:$L$300)+SUMIF(Mercado_Receita!$S$2:$S$300,"44621B2ConvencionalRuralServiço público de irrigação ruralNão se aplicaNão se aplicaNão se aplica",Mercado_Receita!$L$2:$L$300)</f>
        <v>0</v>
      </c>
      <c r="P38" s="13">
        <f>SUMIF(Mercado_Receita!$S$2:$S$300,"44652B2ConvencionalRuralServiço público de irrigação ruralNão se aplicaNão se aplicaPonta",Mercado_Receita!$L$2:$L$300)+SUMIF(Mercado_Receita!$S$2:$S$300,"44652B2ConvencionalRuralServiço público de irrigação ruralNão se aplicaNão se aplicaFora ponta",Mercado_Receita!$L$2:$L$300)+SUMIF(Mercado_Receita!$S$2:$S$300,"44652B2ConvencionalRuralServiço público de irrigação ruralNão se aplicaNão se aplicaIntermediário",Mercado_Receita!$L$2:$L$300)+SUMIF(Mercado_Receita!$S$2:$S$300,"44652B2ConvencionalRuralServiço público de irrigação ruralNão se aplicaNão se aplicaNão se aplica",Mercado_Receita!$L$2:$L$300)</f>
        <v>0</v>
      </c>
      <c r="Q38" s="13">
        <f>SUMIF(Mercado_Receita!$S$2:$S$300,"44682B2ConvencionalRuralServiço público de irrigação ruralNão se aplicaNão se aplicaPonta",Mercado_Receita!$L$2:$L$300)+SUMIF(Mercado_Receita!$S$2:$S$300,"44682B2ConvencionalRuralServiço público de irrigação ruralNão se aplicaNão se aplicaFora ponta",Mercado_Receita!$L$2:$L$300)+SUMIF(Mercado_Receita!$S$2:$S$300,"44682B2ConvencionalRuralServiço público de irrigação ruralNão se aplicaNão se aplicaIntermediário",Mercado_Receita!$L$2:$L$300)+SUMIF(Mercado_Receita!$S$2:$S$300,"44682B2ConvencionalRuralServiço público de irrigação ruralNão se aplicaNão se aplicaNão se aplica",Mercado_Receita!$L$2:$L$300)</f>
        <v>0</v>
      </c>
      <c r="R38" s="13">
        <f>SUMIF(Mercado_Receita!$S$2:$S$300,"44713B2ConvencionalRuralServiço público de irrigação ruralNão se aplicaNão se aplicaPonta",Mercado_Receita!$L$2:$L$300)+SUMIF(Mercado_Receita!$S$2:$S$300,"44713B2ConvencionalRuralServiço público de irrigação ruralNão se aplicaNão se aplicaFora ponta",Mercado_Receita!$L$2:$L$300)+SUMIF(Mercado_Receita!$S$2:$S$300,"44713B2ConvencionalRuralServiço público de irrigação ruralNão se aplicaNão se aplicaIntermediário",Mercado_Receita!$L$2:$L$300)+SUMIF(Mercado_Receita!$S$2:$S$300,"44713B2ConvencionalRuralServiço público de irrigação ruralNão se aplicaNão se aplicaNão se aplica",Mercado_Receita!$L$2:$L$300)</f>
        <v>0</v>
      </c>
      <c r="S38" s="13">
        <f>SUMIF(Mercado_Receita!$S$2:$S$300,"44743B2ConvencionalRuralServiço público de irrigação ruralNão se aplicaNão se aplicaPonta",Mercado_Receita!$L$2:$L$300)+SUMIF(Mercado_Receita!$S$2:$S$300,"44743B2ConvencionalRuralServiço público de irrigação ruralNão se aplicaNão se aplicaFora ponta",Mercado_Receita!$L$2:$L$300)+SUMIF(Mercado_Receita!$S$2:$S$300,"44743B2ConvencionalRuralServiço público de irrigação ruralNão se aplicaNão se aplicaIntermediário",Mercado_Receita!$L$2:$L$300)+SUMIF(Mercado_Receita!$S$2:$S$300,"44743B2ConvencionalRuralServiço público de irrigação ruralNão se aplicaNão se aplicaNão se aplica",Mercado_Receita!$L$2:$L$300)</f>
        <v>0</v>
      </c>
      <c r="T38" s="13">
        <f>SUMIF(Mercado_Receita!$S$2:$S$300,"44774B2ConvencionalRuralServiço público de irrigação ruralNão se aplicaNão se aplicaPonta",Mercado_Receita!$L$2:$L$300)+SUMIF(Mercado_Receita!$S$2:$S$300,"44774B2ConvencionalRuralServiço público de irrigação ruralNão se aplicaNão se aplicaFora ponta",Mercado_Receita!$L$2:$L$300)+SUMIF(Mercado_Receita!$S$2:$S$300,"44774B2ConvencionalRuralServiço público de irrigação ruralNão se aplicaNão se aplicaIntermediário",Mercado_Receita!$L$2:$L$300)+SUMIF(Mercado_Receita!$S$2:$S$300,"44774B2ConvencionalRuralServiço público de irrigação ruralNão se aplicaNão se aplicaNão se aplica",Mercado_Receita!$L$2:$L$300)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82"/>
      <c r="B39" s="81" t="s">
        <v>84</v>
      </c>
      <c r="C39" s="81" t="s">
        <v>42</v>
      </c>
      <c r="D39" s="12" t="s">
        <v>25</v>
      </c>
      <c r="E39" s="12" t="s">
        <v>25</v>
      </c>
      <c r="F39" s="12" t="s">
        <v>25</v>
      </c>
      <c r="G39" s="13" t="s">
        <v>72</v>
      </c>
      <c r="H39" s="13" t="s">
        <v>68</v>
      </c>
      <c r="I39" s="13">
        <f>SUMIF(Mercado_Receita!$S$2:$S$300,"44440B2Convencional pré-pagamentoRuralNão se aplicaNão se aplicaNão se aplicaPonta",Mercado_Receita!$L$2:$L$300)+SUMIF(Mercado_Receita!$S$2:$S$300,"44440B2Convencional pré-pagamentoRuralNão se aplicaNão se aplicaNão se aplicaFora ponta",Mercado_Receita!$L$2:$L$300)+SUMIF(Mercado_Receita!$S$2:$S$300,"44440B2Convencional pré-pagamentoRuralNão se aplicaNão se aplicaNão se aplicaIntermediário",Mercado_Receita!$L$2:$L$300)+SUMIF(Mercado_Receita!$S$2:$S$300,"44440B2Convencional pré-pagamentoRuralNão se aplicaNão se aplicaNão se aplicaNão se aplica",Mercado_Receita!$L$2:$L$300)</f>
        <v>0</v>
      </c>
      <c r="J39" s="13">
        <f>SUMIF(Mercado_Receita!$S$2:$S$300,"44470B2Convencional pré-pagamentoRuralNão se aplicaNão se aplicaNão se aplicaPonta",Mercado_Receita!$L$2:$L$300)+SUMIF(Mercado_Receita!$S$2:$S$300,"44470B2Convencional pré-pagamentoRuralNão se aplicaNão se aplicaNão se aplicaFora ponta",Mercado_Receita!$L$2:$L$300)+SUMIF(Mercado_Receita!$S$2:$S$300,"44470B2Convencional pré-pagamentoRuralNão se aplicaNão se aplicaNão se aplicaIntermediário",Mercado_Receita!$L$2:$L$300)+SUMIF(Mercado_Receita!$S$2:$S$300,"44470B2Convencional pré-pagamentoRuralNão se aplicaNão se aplicaNão se aplicaNão se aplica",Mercado_Receita!$L$2:$L$300)</f>
        <v>0</v>
      </c>
      <c r="K39" s="13">
        <f>SUMIF(Mercado_Receita!$S$2:$S$300,"44501B2Convencional pré-pagamentoRuralNão se aplicaNão se aplicaNão se aplicaPonta",Mercado_Receita!$L$2:$L$300)+SUMIF(Mercado_Receita!$S$2:$S$300,"44501B2Convencional pré-pagamentoRuralNão se aplicaNão se aplicaNão se aplicaFora ponta",Mercado_Receita!$L$2:$L$300)+SUMIF(Mercado_Receita!$S$2:$S$300,"44501B2Convencional pré-pagamentoRuralNão se aplicaNão se aplicaNão se aplicaIntermediário",Mercado_Receita!$L$2:$L$300)+SUMIF(Mercado_Receita!$S$2:$S$300,"44501B2Convencional pré-pagamentoRuralNão se aplicaNão se aplicaNão se aplicaNão se aplica",Mercado_Receita!$L$2:$L$300)</f>
        <v>0</v>
      </c>
      <c r="L39" s="13">
        <f>SUMIF(Mercado_Receita!$S$2:$S$300,"44531B2Convencional pré-pagamentoRuralNão se aplicaNão se aplicaNão se aplicaPonta",Mercado_Receita!$L$2:$L$300)+SUMIF(Mercado_Receita!$S$2:$S$300,"44531B2Convencional pré-pagamentoRuralNão se aplicaNão se aplicaNão se aplicaFora ponta",Mercado_Receita!$L$2:$L$300)+SUMIF(Mercado_Receita!$S$2:$S$300,"44531B2Convencional pré-pagamentoRuralNão se aplicaNão se aplicaNão se aplicaIntermediário",Mercado_Receita!$L$2:$L$300)+SUMIF(Mercado_Receita!$S$2:$S$300,"44531B2Convencional pré-pagamentoRuralNão se aplicaNão se aplicaNão se aplicaNão se aplica",Mercado_Receita!$L$2:$L$300)</f>
        <v>0</v>
      </c>
      <c r="M39" s="13">
        <f>SUMIF(Mercado_Receita!$S$2:$S$300,"44562B2Convencional pré-pagamentoRuralNão se aplicaNão se aplicaNão se aplicaPonta",Mercado_Receita!$L$2:$L$300)+SUMIF(Mercado_Receita!$S$2:$S$300,"44562B2Convencional pré-pagamentoRuralNão se aplicaNão se aplicaNão se aplicaFora ponta",Mercado_Receita!$L$2:$L$300)+SUMIF(Mercado_Receita!$S$2:$S$300,"44562B2Convencional pré-pagamentoRuralNão se aplicaNão se aplicaNão se aplicaIntermediário",Mercado_Receita!$L$2:$L$300)+SUMIF(Mercado_Receita!$S$2:$S$300,"44562B2Convencional pré-pagamentoRuralNão se aplicaNão se aplicaNão se aplicaNão se aplica",Mercado_Receita!$L$2:$L$300)</f>
        <v>0</v>
      </c>
      <c r="N39" s="13">
        <f>SUMIF(Mercado_Receita!$S$2:$S$300,"44593B2Convencional pré-pagamentoRuralNão se aplicaNão se aplicaNão se aplicaPonta",Mercado_Receita!$L$2:$L$300)+SUMIF(Mercado_Receita!$S$2:$S$300,"44593B2Convencional pré-pagamentoRuralNão se aplicaNão se aplicaNão se aplicaFora ponta",Mercado_Receita!$L$2:$L$300)+SUMIF(Mercado_Receita!$S$2:$S$300,"44593B2Convencional pré-pagamentoRuralNão se aplicaNão se aplicaNão se aplicaIntermediário",Mercado_Receita!$L$2:$L$300)+SUMIF(Mercado_Receita!$S$2:$S$300,"44593B2Convencional pré-pagamentoRuralNão se aplicaNão se aplicaNão se aplicaNão se aplica",Mercado_Receita!$L$2:$L$300)</f>
        <v>0</v>
      </c>
      <c r="O39" s="13">
        <f>SUMIF(Mercado_Receita!$S$2:$S$300,"44621B2Convencional pré-pagamentoRuralNão se aplicaNão se aplicaNão se aplicaPonta",Mercado_Receita!$L$2:$L$300)+SUMIF(Mercado_Receita!$S$2:$S$300,"44621B2Convencional pré-pagamentoRuralNão se aplicaNão se aplicaNão se aplicaFora ponta",Mercado_Receita!$L$2:$L$300)+SUMIF(Mercado_Receita!$S$2:$S$300,"44621B2Convencional pré-pagamentoRuralNão se aplicaNão se aplicaNão se aplicaIntermediário",Mercado_Receita!$L$2:$L$300)+SUMIF(Mercado_Receita!$S$2:$S$300,"44621B2Convencional pré-pagamentoRuralNão se aplicaNão se aplicaNão se aplicaNão se aplica",Mercado_Receita!$L$2:$L$300)</f>
        <v>0</v>
      </c>
      <c r="P39" s="13">
        <f>SUMIF(Mercado_Receita!$S$2:$S$300,"44652B2Convencional pré-pagamentoRuralNão se aplicaNão se aplicaNão se aplicaPonta",Mercado_Receita!$L$2:$L$300)+SUMIF(Mercado_Receita!$S$2:$S$300,"44652B2Convencional pré-pagamentoRuralNão se aplicaNão se aplicaNão se aplicaFora ponta",Mercado_Receita!$L$2:$L$300)+SUMIF(Mercado_Receita!$S$2:$S$300,"44652B2Convencional pré-pagamentoRuralNão se aplicaNão se aplicaNão se aplicaIntermediário",Mercado_Receita!$L$2:$L$300)+SUMIF(Mercado_Receita!$S$2:$S$300,"44652B2Convencional pré-pagamentoRuralNão se aplicaNão se aplicaNão se aplicaNão se aplica",Mercado_Receita!$L$2:$L$300)</f>
        <v>0</v>
      </c>
      <c r="Q39" s="13">
        <f>SUMIF(Mercado_Receita!$S$2:$S$300,"44682B2Convencional pré-pagamentoRuralNão se aplicaNão se aplicaNão se aplicaPonta",Mercado_Receita!$L$2:$L$300)+SUMIF(Mercado_Receita!$S$2:$S$300,"44682B2Convencional pré-pagamentoRuralNão se aplicaNão se aplicaNão se aplicaFora ponta",Mercado_Receita!$L$2:$L$300)+SUMIF(Mercado_Receita!$S$2:$S$300,"44682B2Convencional pré-pagamentoRuralNão se aplicaNão se aplicaNão se aplicaIntermediário",Mercado_Receita!$L$2:$L$300)+SUMIF(Mercado_Receita!$S$2:$S$300,"44682B2Convencional pré-pagamentoRuralNão se aplicaNão se aplicaNão se aplicaNão se aplica",Mercado_Receita!$L$2:$L$300)</f>
        <v>0</v>
      </c>
      <c r="R39" s="13">
        <f>SUMIF(Mercado_Receita!$S$2:$S$300,"44713B2Convencional pré-pagamentoRuralNão se aplicaNão se aplicaNão se aplicaPonta",Mercado_Receita!$L$2:$L$300)+SUMIF(Mercado_Receita!$S$2:$S$300,"44713B2Convencional pré-pagamentoRuralNão se aplicaNão se aplicaNão se aplicaFora ponta",Mercado_Receita!$L$2:$L$300)+SUMIF(Mercado_Receita!$S$2:$S$300,"44713B2Convencional pré-pagamentoRuralNão se aplicaNão se aplicaNão se aplicaIntermediário",Mercado_Receita!$L$2:$L$300)+SUMIF(Mercado_Receita!$S$2:$S$300,"44713B2Convencional pré-pagamentoRuralNão se aplicaNão se aplicaNão se aplicaNão se aplica",Mercado_Receita!$L$2:$L$300)</f>
        <v>0</v>
      </c>
      <c r="S39" s="13">
        <f>SUMIF(Mercado_Receita!$S$2:$S$300,"44743B2Convencional pré-pagamentoRuralNão se aplicaNão se aplicaNão se aplicaPonta",Mercado_Receita!$L$2:$L$300)+SUMIF(Mercado_Receita!$S$2:$S$300,"44743B2Convencional pré-pagamentoRuralNão se aplicaNão se aplicaNão se aplicaFora ponta",Mercado_Receita!$L$2:$L$300)+SUMIF(Mercado_Receita!$S$2:$S$300,"44743B2Convencional pré-pagamentoRuralNão se aplicaNão se aplicaNão se aplicaIntermediário",Mercado_Receita!$L$2:$L$300)+SUMIF(Mercado_Receita!$S$2:$S$300,"44743B2Convencional pré-pagamentoRuralNão se aplicaNão se aplicaNão se aplicaNão se aplica",Mercado_Receita!$L$2:$L$300)</f>
        <v>0</v>
      </c>
      <c r="T39" s="13">
        <f>SUMIF(Mercado_Receita!$S$2:$S$300,"44774B2Convencional pré-pagamentoRuralNão se aplicaNão se aplicaNão se aplicaPonta",Mercado_Receita!$L$2:$L$300)+SUMIF(Mercado_Receita!$S$2:$S$300,"44774B2Convencional pré-pagamentoRuralNão se aplicaNão se aplicaNão se aplicaFora ponta",Mercado_Receita!$L$2:$L$300)+SUMIF(Mercado_Receita!$S$2:$S$300,"44774B2Convencional pré-pagamentoRuralNão se aplicaNão se aplicaNão se aplicaIntermediário",Mercado_Receita!$L$2:$L$300)+SUMIF(Mercado_Receita!$S$2:$S$300,"44774B2Convencional pré-pagamentoRuralNão se aplicaNão se aplicaNão se aplicaNão se aplica",Mercado_Receita!$L$2:$L$300)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82"/>
      <c r="B40" s="82"/>
      <c r="C40" s="82"/>
      <c r="D40" s="12" t="s">
        <v>85</v>
      </c>
      <c r="E40" s="12" t="s">
        <v>25</v>
      </c>
      <c r="F40" s="12" t="s">
        <v>25</v>
      </c>
      <c r="G40" s="13" t="s">
        <v>72</v>
      </c>
      <c r="H40" s="13" t="s">
        <v>68</v>
      </c>
      <c r="I40" s="13">
        <f>SUMIF(Mercado_Receita!$S$2:$S$300,"44440B2Convencional pré-pagamentoRuralCooperativa de eletrificação ruralNão se aplicaNão se aplicaPonta",Mercado_Receita!$L$2:$L$300)+SUMIF(Mercado_Receita!$S$2:$S$300,"44440B2Convencional pré-pagamentoRuralCooperativa de eletrificação ruralNão se aplicaNão se aplicaFora ponta",Mercado_Receita!$L$2:$L$300)+SUMIF(Mercado_Receita!$S$2:$S$300,"44440B2Convencional pré-pagamentoRuralCooperativa de eletrificação ruralNão se aplicaNão se aplicaIntermediário",Mercado_Receita!$L$2:$L$300)+SUMIF(Mercado_Receita!$S$2:$S$300,"44440B2Convencional pré-pagamentoRuralCooperativa de eletrificação ruralNão se aplicaNão se aplicaNão se aplica",Mercado_Receita!$L$2:$L$300)</f>
        <v>0</v>
      </c>
      <c r="J40" s="13">
        <f>SUMIF(Mercado_Receita!$S$2:$S$300,"44470B2Convencional pré-pagamentoRuralCooperativa de eletrificação ruralNão se aplicaNão se aplicaPonta",Mercado_Receita!$L$2:$L$300)+SUMIF(Mercado_Receita!$S$2:$S$300,"44470B2Convencional pré-pagamentoRuralCooperativa de eletrificação ruralNão se aplicaNão se aplicaFora ponta",Mercado_Receita!$L$2:$L$300)+SUMIF(Mercado_Receita!$S$2:$S$300,"44470B2Convencional pré-pagamentoRuralCooperativa de eletrificação ruralNão se aplicaNão se aplicaIntermediário",Mercado_Receita!$L$2:$L$300)+SUMIF(Mercado_Receita!$S$2:$S$300,"44470B2Convencional pré-pagamentoRuralCooperativa de eletrificação ruralNão se aplicaNão se aplicaNão se aplica",Mercado_Receita!$L$2:$L$300)</f>
        <v>0</v>
      </c>
      <c r="K40" s="13">
        <f>SUMIF(Mercado_Receita!$S$2:$S$300,"44501B2Convencional pré-pagamentoRuralCooperativa de eletrificação ruralNão se aplicaNão se aplicaPonta",Mercado_Receita!$L$2:$L$300)+SUMIF(Mercado_Receita!$S$2:$S$300,"44501B2Convencional pré-pagamentoRuralCooperativa de eletrificação ruralNão se aplicaNão se aplicaFora ponta",Mercado_Receita!$L$2:$L$300)+SUMIF(Mercado_Receita!$S$2:$S$300,"44501B2Convencional pré-pagamentoRuralCooperativa de eletrificação ruralNão se aplicaNão se aplicaIntermediário",Mercado_Receita!$L$2:$L$300)+SUMIF(Mercado_Receita!$S$2:$S$300,"44501B2Convencional pré-pagamentoRuralCooperativa de eletrificação ruralNão se aplicaNão se aplicaNão se aplica",Mercado_Receita!$L$2:$L$300)</f>
        <v>0</v>
      </c>
      <c r="L40" s="13">
        <f>SUMIF(Mercado_Receita!$S$2:$S$300,"44531B2Convencional pré-pagamentoRuralCooperativa de eletrificação ruralNão se aplicaNão se aplicaPonta",Mercado_Receita!$L$2:$L$300)+SUMIF(Mercado_Receita!$S$2:$S$300,"44531B2Convencional pré-pagamentoRuralCooperativa de eletrificação ruralNão se aplicaNão se aplicaFora ponta",Mercado_Receita!$L$2:$L$300)+SUMIF(Mercado_Receita!$S$2:$S$300,"44531B2Convencional pré-pagamentoRuralCooperativa de eletrificação ruralNão se aplicaNão se aplicaIntermediário",Mercado_Receita!$L$2:$L$300)+SUMIF(Mercado_Receita!$S$2:$S$300,"44531B2Convencional pré-pagamentoRuralCooperativa de eletrificação ruralNão se aplicaNão se aplicaNão se aplica",Mercado_Receita!$L$2:$L$300)</f>
        <v>0</v>
      </c>
      <c r="M40" s="13">
        <f>SUMIF(Mercado_Receita!$S$2:$S$300,"44562B2Convencional pré-pagamentoRuralCooperativa de eletrificação ruralNão se aplicaNão se aplicaPonta",Mercado_Receita!$L$2:$L$300)+SUMIF(Mercado_Receita!$S$2:$S$300,"44562B2Convencional pré-pagamentoRuralCooperativa de eletrificação ruralNão se aplicaNão se aplicaFora ponta",Mercado_Receita!$L$2:$L$300)+SUMIF(Mercado_Receita!$S$2:$S$300,"44562B2Convencional pré-pagamentoRuralCooperativa de eletrificação ruralNão se aplicaNão se aplicaIntermediário",Mercado_Receita!$L$2:$L$300)+SUMIF(Mercado_Receita!$S$2:$S$300,"44562B2Convencional pré-pagamentoRuralCooperativa de eletrificação ruralNão se aplicaNão se aplicaNão se aplica",Mercado_Receita!$L$2:$L$300)</f>
        <v>0</v>
      </c>
      <c r="N40" s="13">
        <f>SUMIF(Mercado_Receita!$S$2:$S$300,"44593B2Convencional pré-pagamentoRuralCooperativa de eletrificação ruralNão se aplicaNão se aplicaPonta",Mercado_Receita!$L$2:$L$300)+SUMIF(Mercado_Receita!$S$2:$S$300,"44593B2Convencional pré-pagamentoRuralCooperativa de eletrificação ruralNão se aplicaNão se aplicaFora ponta",Mercado_Receita!$L$2:$L$300)+SUMIF(Mercado_Receita!$S$2:$S$300,"44593B2Convencional pré-pagamentoRuralCooperativa de eletrificação ruralNão se aplicaNão se aplicaIntermediário",Mercado_Receita!$L$2:$L$300)+SUMIF(Mercado_Receita!$S$2:$S$300,"44593B2Convencional pré-pagamentoRuralCooperativa de eletrificação ruralNão se aplicaNão se aplicaNão se aplica",Mercado_Receita!$L$2:$L$300)</f>
        <v>0</v>
      </c>
      <c r="O40" s="13">
        <f>SUMIF(Mercado_Receita!$S$2:$S$300,"44621B2Convencional pré-pagamentoRuralCooperativa de eletrificação ruralNão se aplicaNão se aplicaPonta",Mercado_Receita!$L$2:$L$300)+SUMIF(Mercado_Receita!$S$2:$S$300,"44621B2Convencional pré-pagamentoRuralCooperativa de eletrificação ruralNão se aplicaNão se aplicaFora ponta",Mercado_Receita!$L$2:$L$300)+SUMIF(Mercado_Receita!$S$2:$S$300,"44621B2Convencional pré-pagamentoRuralCooperativa de eletrificação ruralNão se aplicaNão se aplicaIntermediário",Mercado_Receita!$L$2:$L$300)+SUMIF(Mercado_Receita!$S$2:$S$300,"44621B2Convencional pré-pagamentoRuralCooperativa de eletrificação ruralNão se aplicaNão se aplicaNão se aplica",Mercado_Receita!$L$2:$L$300)</f>
        <v>0</v>
      </c>
      <c r="P40" s="13">
        <f>SUMIF(Mercado_Receita!$S$2:$S$300,"44652B2Convencional pré-pagamentoRuralCooperativa de eletrificação ruralNão se aplicaNão se aplicaPonta",Mercado_Receita!$L$2:$L$300)+SUMIF(Mercado_Receita!$S$2:$S$300,"44652B2Convencional pré-pagamentoRuralCooperativa de eletrificação ruralNão se aplicaNão se aplicaFora ponta",Mercado_Receita!$L$2:$L$300)+SUMIF(Mercado_Receita!$S$2:$S$300,"44652B2Convencional pré-pagamentoRuralCooperativa de eletrificação ruralNão se aplicaNão se aplicaIntermediário",Mercado_Receita!$L$2:$L$300)+SUMIF(Mercado_Receita!$S$2:$S$300,"44652B2Convencional pré-pagamentoRuralCooperativa de eletrificação ruralNão se aplicaNão se aplicaNão se aplica",Mercado_Receita!$L$2:$L$300)</f>
        <v>0</v>
      </c>
      <c r="Q40" s="13">
        <f>SUMIF(Mercado_Receita!$S$2:$S$300,"44682B2Convencional pré-pagamentoRuralCooperativa de eletrificação ruralNão se aplicaNão se aplicaPonta",Mercado_Receita!$L$2:$L$300)+SUMIF(Mercado_Receita!$S$2:$S$300,"44682B2Convencional pré-pagamentoRuralCooperativa de eletrificação ruralNão se aplicaNão se aplicaFora ponta",Mercado_Receita!$L$2:$L$300)+SUMIF(Mercado_Receita!$S$2:$S$300,"44682B2Convencional pré-pagamentoRuralCooperativa de eletrificação ruralNão se aplicaNão se aplicaIntermediário",Mercado_Receita!$L$2:$L$300)+SUMIF(Mercado_Receita!$S$2:$S$300,"44682B2Convencional pré-pagamentoRuralCooperativa de eletrificação ruralNão se aplicaNão se aplicaNão se aplica",Mercado_Receita!$L$2:$L$300)</f>
        <v>0</v>
      </c>
      <c r="R40" s="13">
        <f>SUMIF(Mercado_Receita!$S$2:$S$300,"44713B2Convencional pré-pagamentoRuralCooperativa de eletrificação ruralNão se aplicaNão se aplicaPonta",Mercado_Receita!$L$2:$L$300)+SUMIF(Mercado_Receita!$S$2:$S$300,"44713B2Convencional pré-pagamentoRuralCooperativa de eletrificação ruralNão se aplicaNão se aplicaFora ponta",Mercado_Receita!$L$2:$L$300)+SUMIF(Mercado_Receita!$S$2:$S$300,"44713B2Convencional pré-pagamentoRuralCooperativa de eletrificação ruralNão se aplicaNão se aplicaIntermediário",Mercado_Receita!$L$2:$L$300)+SUMIF(Mercado_Receita!$S$2:$S$300,"44713B2Convencional pré-pagamentoRuralCooperativa de eletrificação ruralNão se aplicaNão se aplicaNão se aplica",Mercado_Receita!$L$2:$L$300)</f>
        <v>0</v>
      </c>
      <c r="S40" s="13">
        <f>SUMIF(Mercado_Receita!$S$2:$S$300,"44743B2Convencional pré-pagamentoRuralCooperativa de eletrificação ruralNão se aplicaNão se aplicaPonta",Mercado_Receita!$L$2:$L$300)+SUMIF(Mercado_Receita!$S$2:$S$300,"44743B2Convencional pré-pagamentoRuralCooperativa de eletrificação ruralNão se aplicaNão se aplicaFora ponta",Mercado_Receita!$L$2:$L$300)+SUMIF(Mercado_Receita!$S$2:$S$300,"44743B2Convencional pré-pagamentoRuralCooperativa de eletrificação ruralNão se aplicaNão se aplicaIntermediário",Mercado_Receita!$L$2:$L$300)+SUMIF(Mercado_Receita!$S$2:$S$300,"44743B2Convencional pré-pagamentoRuralCooperativa de eletrificação ruralNão se aplicaNão se aplicaNão se aplica",Mercado_Receita!$L$2:$L$300)</f>
        <v>0</v>
      </c>
      <c r="T40" s="13">
        <f>SUMIF(Mercado_Receita!$S$2:$S$300,"44774B2Convencional pré-pagamentoRuralCooperativa de eletrificação ruralNão se aplicaNão se aplicaPonta",Mercado_Receita!$L$2:$L$300)+SUMIF(Mercado_Receita!$S$2:$S$300,"44774B2Convencional pré-pagamentoRuralCooperativa de eletrificação ruralNão se aplicaNão se aplicaFora ponta",Mercado_Receita!$L$2:$L$300)+SUMIF(Mercado_Receita!$S$2:$S$300,"44774B2Convencional pré-pagamentoRuralCooperativa de eletrificação ruralNão se aplicaNão se aplicaIntermediário",Mercado_Receita!$L$2:$L$300)+SUMIF(Mercado_Receita!$S$2:$S$300,"44774B2Convencional pré-pagamentoRuralCooperativa de eletrificação ruralNão se aplicaNão se aplicaNão se aplica",Mercado_Receita!$L$2:$L$300)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82"/>
      <c r="B41" s="82"/>
      <c r="C41" s="82"/>
      <c r="D41" s="12" t="s">
        <v>86</v>
      </c>
      <c r="E41" s="12" t="s">
        <v>25</v>
      </c>
      <c r="F41" s="12" t="s">
        <v>25</v>
      </c>
      <c r="G41" s="13" t="s">
        <v>72</v>
      </c>
      <c r="H41" s="13" t="s">
        <v>68</v>
      </c>
      <c r="I41" s="13">
        <f>SUMIF(Mercado_Receita!$S$2:$S$300,"44440B2Convencional pré-pagamentoRuralServiço público de irrigação ruralNão se aplicaNão se aplicaPonta",Mercado_Receita!$L$2:$L$300)+SUMIF(Mercado_Receita!$S$2:$S$300,"44440B2Convencional pré-pagamentoRuralServiço público de irrigação ruralNão se aplicaNão se aplicaFora ponta",Mercado_Receita!$L$2:$L$300)+SUMIF(Mercado_Receita!$S$2:$S$300,"44440B2Convencional pré-pagamentoRuralServiço público de irrigação ruralNão se aplicaNão se aplicaIntermediário",Mercado_Receita!$L$2:$L$300)+SUMIF(Mercado_Receita!$S$2:$S$300,"44440B2Convencional pré-pagamentoRuralServiço público de irrigação ruralNão se aplicaNão se aplicaNão se aplica",Mercado_Receita!$L$2:$L$300)</f>
        <v>0</v>
      </c>
      <c r="J41" s="13">
        <f>SUMIF(Mercado_Receita!$S$2:$S$300,"44470B2Convencional pré-pagamentoRuralServiço público de irrigação ruralNão se aplicaNão se aplicaPonta",Mercado_Receita!$L$2:$L$300)+SUMIF(Mercado_Receita!$S$2:$S$300,"44470B2Convencional pré-pagamentoRuralServiço público de irrigação ruralNão se aplicaNão se aplicaFora ponta",Mercado_Receita!$L$2:$L$300)+SUMIF(Mercado_Receita!$S$2:$S$300,"44470B2Convencional pré-pagamentoRuralServiço público de irrigação ruralNão se aplicaNão se aplicaIntermediário",Mercado_Receita!$L$2:$L$300)+SUMIF(Mercado_Receita!$S$2:$S$300,"44470B2Convencional pré-pagamentoRuralServiço público de irrigação ruralNão se aplicaNão se aplicaNão se aplica",Mercado_Receita!$L$2:$L$300)</f>
        <v>0</v>
      </c>
      <c r="K41" s="13">
        <f>SUMIF(Mercado_Receita!$S$2:$S$300,"44501B2Convencional pré-pagamentoRuralServiço público de irrigação ruralNão se aplicaNão se aplicaPonta",Mercado_Receita!$L$2:$L$300)+SUMIF(Mercado_Receita!$S$2:$S$300,"44501B2Convencional pré-pagamentoRuralServiço público de irrigação ruralNão se aplicaNão se aplicaFora ponta",Mercado_Receita!$L$2:$L$300)+SUMIF(Mercado_Receita!$S$2:$S$300,"44501B2Convencional pré-pagamentoRuralServiço público de irrigação ruralNão se aplicaNão se aplicaIntermediário",Mercado_Receita!$L$2:$L$300)+SUMIF(Mercado_Receita!$S$2:$S$300,"44501B2Convencional pré-pagamentoRuralServiço público de irrigação ruralNão se aplicaNão se aplicaNão se aplica",Mercado_Receita!$L$2:$L$300)</f>
        <v>0</v>
      </c>
      <c r="L41" s="13">
        <f>SUMIF(Mercado_Receita!$S$2:$S$300,"44531B2Convencional pré-pagamentoRuralServiço público de irrigação ruralNão se aplicaNão se aplicaPonta",Mercado_Receita!$L$2:$L$300)+SUMIF(Mercado_Receita!$S$2:$S$300,"44531B2Convencional pré-pagamentoRuralServiço público de irrigação ruralNão se aplicaNão se aplicaFora ponta",Mercado_Receita!$L$2:$L$300)+SUMIF(Mercado_Receita!$S$2:$S$300,"44531B2Convencional pré-pagamentoRuralServiço público de irrigação ruralNão se aplicaNão se aplicaIntermediário",Mercado_Receita!$L$2:$L$300)+SUMIF(Mercado_Receita!$S$2:$S$300,"44531B2Convencional pré-pagamentoRuralServiço público de irrigação ruralNão se aplicaNão se aplicaNão se aplica",Mercado_Receita!$L$2:$L$300)</f>
        <v>0</v>
      </c>
      <c r="M41" s="13">
        <f>SUMIF(Mercado_Receita!$S$2:$S$300,"44562B2Convencional pré-pagamentoRuralServiço público de irrigação ruralNão se aplicaNão se aplicaPonta",Mercado_Receita!$L$2:$L$300)+SUMIF(Mercado_Receita!$S$2:$S$300,"44562B2Convencional pré-pagamentoRuralServiço público de irrigação ruralNão se aplicaNão se aplicaFora ponta",Mercado_Receita!$L$2:$L$300)+SUMIF(Mercado_Receita!$S$2:$S$300,"44562B2Convencional pré-pagamentoRuralServiço público de irrigação ruralNão se aplicaNão se aplicaIntermediário",Mercado_Receita!$L$2:$L$300)+SUMIF(Mercado_Receita!$S$2:$S$300,"44562B2Convencional pré-pagamentoRuralServiço público de irrigação ruralNão se aplicaNão se aplicaNão se aplica",Mercado_Receita!$L$2:$L$300)</f>
        <v>0</v>
      </c>
      <c r="N41" s="13">
        <f>SUMIF(Mercado_Receita!$S$2:$S$300,"44593B2Convencional pré-pagamentoRuralServiço público de irrigação ruralNão se aplicaNão se aplicaPonta",Mercado_Receita!$L$2:$L$300)+SUMIF(Mercado_Receita!$S$2:$S$300,"44593B2Convencional pré-pagamentoRuralServiço público de irrigação ruralNão se aplicaNão se aplicaFora ponta",Mercado_Receita!$L$2:$L$300)+SUMIF(Mercado_Receita!$S$2:$S$300,"44593B2Convencional pré-pagamentoRuralServiço público de irrigação ruralNão se aplicaNão se aplicaIntermediário",Mercado_Receita!$L$2:$L$300)+SUMIF(Mercado_Receita!$S$2:$S$300,"44593B2Convencional pré-pagamentoRuralServiço público de irrigação ruralNão se aplicaNão se aplicaNão se aplica",Mercado_Receita!$L$2:$L$300)</f>
        <v>0</v>
      </c>
      <c r="O41" s="13">
        <f>SUMIF(Mercado_Receita!$S$2:$S$300,"44621B2Convencional pré-pagamentoRuralServiço público de irrigação ruralNão se aplicaNão se aplicaPonta",Mercado_Receita!$L$2:$L$300)+SUMIF(Mercado_Receita!$S$2:$S$300,"44621B2Convencional pré-pagamentoRuralServiço público de irrigação ruralNão se aplicaNão se aplicaFora ponta",Mercado_Receita!$L$2:$L$300)+SUMIF(Mercado_Receita!$S$2:$S$300,"44621B2Convencional pré-pagamentoRuralServiço público de irrigação ruralNão se aplicaNão se aplicaIntermediário",Mercado_Receita!$L$2:$L$300)+SUMIF(Mercado_Receita!$S$2:$S$300,"44621B2Convencional pré-pagamentoRuralServiço público de irrigação ruralNão se aplicaNão se aplicaNão se aplica",Mercado_Receita!$L$2:$L$300)</f>
        <v>0</v>
      </c>
      <c r="P41" s="13">
        <f>SUMIF(Mercado_Receita!$S$2:$S$300,"44652B2Convencional pré-pagamentoRuralServiço público de irrigação ruralNão se aplicaNão se aplicaPonta",Mercado_Receita!$L$2:$L$300)+SUMIF(Mercado_Receita!$S$2:$S$300,"44652B2Convencional pré-pagamentoRuralServiço público de irrigação ruralNão se aplicaNão se aplicaFora ponta",Mercado_Receita!$L$2:$L$300)+SUMIF(Mercado_Receita!$S$2:$S$300,"44652B2Convencional pré-pagamentoRuralServiço público de irrigação ruralNão se aplicaNão se aplicaIntermediário",Mercado_Receita!$L$2:$L$300)+SUMIF(Mercado_Receita!$S$2:$S$300,"44652B2Convencional pré-pagamentoRuralServiço público de irrigação ruralNão se aplicaNão se aplicaNão se aplica",Mercado_Receita!$L$2:$L$300)</f>
        <v>0</v>
      </c>
      <c r="Q41" s="13">
        <f>SUMIF(Mercado_Receita!$S$2:$S$300,"44682B2Convencional pré-pagamentoRuralServiço público de irrigação ruralNão se aplicaNão se aplicaPonta",Mercado_Receita!$L$2:$L$300)+SUMIF(Mercado_Receita!$S$2:$S$300,"44682B2Convencional pré-pagamentoRuralServiço público de irrigação ruralNão se aplicaNão se aplicaFora ponta",Mercado_Receita!$L$2:$L$300)+SUMIF(Mercado_Receita!$S$2:$S$300,"44682B2Convencional pré-pagamentoRuralServiço público de irrigação ruralNão se aplicaNão se aplicaIntermediário",Mercado_Receita!$L$2:$L$300)+SUMIF(Mercado_Receita!$S$2:$S$300,"44682B2Convencional pré-pagamentoRuralServiço público de irrigação ruralNão se aplicaNão se aplicaNão se aplica",Mercado_Receita!$L$2:$L$300)</f>
        <v>0</v>
      </c>
      <c r="R41" s="13">
        <f>SUMIF(Mercado_Receita!$S$2:$S$300,"44713B2Convencional pré-pagamentoRuralServiço público de irrigação ruralNão se aplicaNão se aplicaPonta",Mercado_Receita!$L$2:$L$300)+SUMIF(Mercado_Receita!$S$2:$S$300,"44713B2Convencional pré-pagamentoRuralServiço público de irrigação ruralNão se aplicaNão se aplicaFora ponta",Mercado_Receita!$L$2:$L$300)+SUMIF(Mercado_Receita!$S$2:$S$300,"44713B2Convencional pré-pagamentoRuralServiço público de irrigação ruralNão se aplicaNão se aplicaIntermediário",Mercado_Receita!$L$2:$L$300)+SUMIF(Mercado_Receita!$S$2:$S$300,"44713B2Convencional pré-pagamentoRuralServiço público de irrigação ruralNão se aplicaNão se aplicaNão se aplica",Mercado_Receita!$L$2:$L$300)</f>
        <v>0</v>
      </c>
      <c r="S41" s="13">
        <f>SUMIF(Mercado_Receita!$S$2:$S$300,"44743B2Convencional pré-pagamentoRuralServiço público de irrigação ruralNão se aplicaNão se aplicaPonta",Mercado_Receita!$L$2:$L$300)+SUMIF(Mercado_Receita!$S$2:$S$300,"44743B2Convencional pré-pagamentoRuralServiço público de irrigação ruralNão se aplicaNão se aplicaFora ponta",Mercado_Receita!$L$2:$L$300)+SUMIF(Mercado_Receita!$S$2:$S$300,"44743B2Convencional pré-pagamentoRuralServiço público de irrigação ruralNão se aplicaNão se aplicaIntermediário",Mercado_Receita!$L$2:$L$300)+SUMIF(Mercado_Receita!$S$2:$S$300,"44743B2Convencional pré-pagamentoRuralServiço público de irrigação ruralNão se aplicaNão se aplicaNão se aplica",Mercado_Receita!$L$2:$L$300)</f>
        <v>0</v>
      </c>
      <c r="T41" s="13">
        <f>SUMIF(Mercado_Receita!$S$2:$S$300,"44774B2Convencional pré-pagamentoRuralServiço público de irrigação ruralNão se aplicaNão se aplicaPonta",Mercado_Receita!$L$2:$L$300)+SUMIF(Mercado_Receita!$S$2:$S$300,"44774B2Convencional pré-pagamentoRuralServiço público de irrigação ruralNão se aplicaNão se aplicaFora ponta",Mercado_Receita!$L$2:$L$300)+SUMIF(Mercado_Receita!$S$2:$S$300,"44774B2Convencional pré-pagamentoRuralServiço público de irrigação ruralNão se aplicaNão se aplicaIntermediário",Mercado_Receita!$L$2:$L$300)+SUMIF(Mercado_Receita!$S$2:$S$300,"44774B2Convencional pré-pagamentoRuralServiço público de irrigação ruralNão se aplicaNão se aplicaNão se aplica",Mercado_Receita!$L$2:$L$300)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81" t="s">
        <v>36</v>
      </c>
      <c r="B42" s="81" t="s">
        <v>33</v>
      </c>
      <c r="C42" s="81" t="s">
        <v>25</v>
      </c>
      <c r="D42" s="81" t="s">
        <v>25</v>
      </c>
      <c r="E42" s="81" t="s">
        <v>25</v>
      </c>
      <c r="F42" s="81" t="s">
        <v>25</v>
      </c>
      <c r="G42" s="13" t="s">
        <v>69</v>
      </c>
      <c r="H42" s="13" t="s">
        <v>68</v>
      </c>
      <c r="I42" s="13">
        <f>SUMIF(Mercado_Receita!$S$2:$S$300,"44440B3BrancaNão se aplicaNão se aplicaNão se aplicaNão se aplicaPonta",Mercado_Receita!$L$2:$L$300)</f>
        <v>0</v>
      </c>
      <c r="J42" s="13">
        <f>SUMIF(Mercado_Receita!$S$2:$S$300,"44470B3BrancaNão se aplicaNão se aplicaNão se aplicaNão se aplicaPonta",Mercado_Receita!$L$2:$L$300)</f>
        <v>0</v>
      </c>
      <c r="K42" s="13">
        <f>SUMIF(Mercado_Receita!$S$2:$S$300,"44501B3BrancaNão se aplicaNão se aplicaNão se aplicaNão se aplicaPonta",Mercado_Receita!$L$2:$L$300)</f>
        <v>0</v>
      </c>
      <c r="L42" s="13">
        <f>SUMIF(Mercado_Receita!$S$2:$S$300,"44531B3BrancaNão se aplicaNão se aplicaNão se aplicaNão se aplicaPonta",Mercado_Receita!$L$2:$L$300)</f>
        <v>0</v>
      </c>
      <c r="M42" s="13">
        <f>SUMIF(Mercado_Receita!$S$2:$S$300,"44562B3BrancaNão se aplicaNão se aplicaNão se aplicaNão se aplicaPonta",Mercado_Receita!$L$2:$L$300)</f>
        <v>0</v>
      </c>
      <c r="N42" s="13">
        <f>SUMIF(Mercado_Receita!$S$2:$S$300,"44593B3BrancaNão se aplicaNão se aplicaNão se aplicaNão se aplicaPonta",Mercado_Receita!$L$2:$L$300)</f>
        <v>0</v>
      </c>
      <c r="O42" s="13">
        <f>SUMIF(Mercado_Receita!$S$2:$S$300,"44621B3BrancaNão se aplicaNão se aplicaNão se aplicaNão se aplicaPonta",Mercado_Receita!$L$2:$L$300)</f>
        <v>0</v>
      </c>
      <c r="P42" s="13">
        <f>SUMIF(Mercado_Receita!$S$2:$S$300,"44652B3BrancaNão se aplicaNão se aplicaNão se aplicaNão se aplicaPonta",Mercado_Receita!$L$2:$L$300)</f>
        <v>0</v>
      </c>
      <c r="Q42" s="13">
        <f>SUMIF(Mercado_Receita!$S$2:$S$300,"44682B3BrancaNão se aplicaNão se aplicaNão se aplicaNão se aplicaPonta",Mercado_Receita!$L$2:$L$300)</f>
        <v>0</v>
      </c>
      <c r="R42" s="13">
        <f>SUMIF(Mercado_Receita!$S$2:$S$300,"44713B3BrancaNão se aplicaNão se aplicaNão se aplicaNão se aplicaPonta",Mercado_Receita!$L$2:$L$300)</f>
        <v>0</v>
      </c>
      <c r="S42" s="13">
        <f>SUMIF(Mercado_Receita!$S$2:$S$300,"44743B3BrancaNão se aplicaNão se aplicaNão se aplicaNão se aplicaPonta",Mercado_Receita!$L$2:$L$300)</f>
        <v>0</v>
      </c>
      <c r="T42" s="13">
        <f>SUMIF(Mercado_Receita!$S$2:$S$300,"44774B3BrancaNão se aplicaNão se aplicaNão se aplicaNão se aplicaPonta",Mercado_Receita!$L$2:$L$300)</f>
        <v>0</v>
      </c>
      <c r="U42" s="13">
        <f t="shared" si="0"/>
        <v>0</v>
      </c>
      <c r="V42" s="13"/>
      <c r="W42" s="13"/>
    </row>
    <row r="43" spans="1:23" ht="11.25" customHeight="1" x14ac:dyDescent="0.3">
      <c r="A43" s="82"/>
      <c r="B43" s="82"/>
      <c r="C43" s="82"/>
      <c r="D43" s="82"/>
      <c r="E43" s="82"/>
      <c r="F43" s="82"/>
      <c r="G43" s="13" t="s">
        <v>82</v>
      </c>
      <c r="H43" s="13" t="s">
        <v>68</v>
      </c>
      <c r="I43" s="13">
        <f>SUMIF(Mercado_Receita!$S$2:$S$300,"44440B3BrancaNão se aplicaNão se aplicaNão se aplicaNão se aplicaIntermediário",Mercado_Receita!$L$2:$L$300)</f>
        <v>0</v>
      </c>
      <c r="J43" s="13">
        <f>SUMIF(Mercado_Receita!$S$2:$S$300,"44470B3BrancaNão se aplicaNão se aplicaNão se aplicaNão se aplicaIntermediário",Mercado_Receita!$L$2:$L$300)</f>
        <v>0</v>
      </c>
      <c r="K43" s="13">
        <f>SUMIF(Mercado_Receita!$S$2:$S$300,"44501B3BrancaNão se aplicaNão se aplicaNão se aplicaNão se aplicaIntermediário",Mercado_Receita!$L$2:$L$300)</f>
        <v>0</v>
      </c>
      <c r="L43" s="13">
        <f>SUMIF(Mercado_Receita!$S$2:$S$300,"44531B3BrancaNão se aplicaNão se aplicaNão se aplicaNão se aplicaIntermediário",Mercado_Receita!$L$2:$L$300)</f>
        <v>0</v>
      </c>
      <c r="M43" s="13">
        <f>SUMIF(Mercado_Receita!$S$2:$S$300,"44562B3BrancaNão se aplicaNão se aplicaNão se aplicaNão se aplicaIntermediário",Mercado_Receita!$L$2:$L$300)</f>
        <v>0</v>
      </c>
      <c r="N43" s="13">
        <f>SUMIF(Mercado_Receita!$S$2:$S$300,"44593B3BrancaNão se aplicaNão se aplicaNão se aplicaNão se aplicaIntermediário",Mercado_Receita!$L$2:$L$300)</f>
        <v>0</v>
      </c>
      <c r="O43" s="13">
        <f>SUMIF(Mercado_Receita!$S$2:$S$300,"44621B3BrancaNão se aplicaNão se aplicaNão se aplicaNão se aplicaIntermediário",Mercado_Receita!$L$2:$L$300)</f>
        <v>0</v>
      </c>
      <c r="P43" s="13">
        <f>SUMIF(Mercado_Receita!$S$2:$S$300,"44652B3BrancaNão se aplicaNão se aplicaNão se aplicaNão se aplicaIntermediário",Mercado_Receita!$L$2:$L$300)</f>
        <v>0</v>
      </c>
      <c r="Q43" s="13">
        <f>SUMIF(Mercado_Receita!$S$2:$S$300,"44682B3BrancaNão se aplicaNão se aplicaNão se aplicaNão se aplicaIntermediário",Mercado_Receita!$L$2:$L$300)</f>
        <v>0</v>
      </c>
      <c r="R43" s="13">
        <f>SUMIF(Mercado_Receita!$S$2:$S$300,"44713B3BrancaNão se aplicaNão se aplicaNão se aplicaNão se aplicaIntermediário",Mercado_Receita!$L$2:$L$300)</f>
        <v>0</v>
      </c>
      <c r="S43" s="13">
        <f>SUMIF(Mercado_Receita!$S$2:$S$300,"44743B3BrancaNão se aplicaNão se aplicaNão se aplicaNão se aplicaIntermediário",Mercado_Receita!$L$2:$L$300)</f>
        <v>0</v>
      </c>
      <c r="T43" s="13">
        <f>SUMIF(Mercado_Receita!$S$2:$S$300,"44774B3BrancaNão se aplicaNão se aplicaNão se aplicaNão se aplicaIntermediário",Mercado_Receita!$L$2:$L$300)</f>
        <v>0</v>
      </c>
      <c r="U43" s="13">
        <f t="shared" si="0"/>
        <v>0</v>
      </c>
      <c r="V43" s="13"/>
      <c r="W43" s="13"/>
    </row>
    <row r="44" spans="1:23" ht="11.25" customHeight="1" x14ac:dyDescent="0.3">
      <c r="A44" s="82"/>
      <c r="B44" s="82"/>
      <c r="C44" s="82"/>
      <c r="D44" s="82"/>
      <c r="E44" s="82"/>
      <c r="F44" s="82"/>
      <c r="G44" s="13" t="s">
        <v>70</v>
      </c>
      <c r="H44" s="13" t="s">
        <v>68</v>
      </c>
      <c r="I44" s="13">
        <f>SUMIF(Mercado_Receita!$S$2:$S$300,"44440B3BrancaNão se aplicaNão se aplicaNão se aplicaNão se aplicaFora ponta",Mercado_Receita!$L$2:$L$300)</f>
        <v>0</v>
      </c>
      <c r="J44" s="13">
        <f>SUMIF(Mercado_Receita!$S$2:$S$300,"44470B3BrancaNão se aplicaNão se aplicaNão se aplicaNão se aplicaFora ponta",Mercado_Receita!$L$2:$L$300)</f>
        <v>0</v>
      </c>
      <c r="K44" s="13">
        <f>SUMIF(Mercado_Receita!$S$2:$S$300,"44501B3BrancaNão se aplicaNão se aplicaNão se aplicaNão se aplicaFora ponta",Mercado_Receita!$L$2:$L$300)</f>
        <v>0</v>
      </c>
      <c r="L44" s="13">
        <f>SUMIF(Mercado_Receita!$S$2:$S$300,"44531B3BrancaNão se aplicaNão se aplicaNão se aplicaNão se aplicaFora ponta",Mercado_Receita!$L$2:$L$300)</f>
        <v>0</v>
      </c>
      <c r="M44" s="13">
        <f>SUMIF(Mercado_Receita!$S$2:$S$300,"44562B3BrancaNão se aplicaNão se aplicaNão se aplicaNão se aplicaFora ponta",Mercado_Receita!$L$2:$L$300)</f>
        <v>0</v>
      </c>
      <c r="N44" s="13">
        <f>SUMIF(Mercado_Receita!$S$2:$S$300,"44593B3BrancaNão se aplicaNão se aplicaNão se aplicaNão se aplicaFora ponta",Mercado_Receita!$L$2:$L$300)</f>
        <v>0</v>
      </c>
      <c r="O44" s="13">
        <f>SUMIF(Mercado_Receita!$S$2:$S$300,"44621B3BrancaNão se aplicaNão se aplicaNão se aplicaNão se aplicaFora ponta",Mercado_Receita!$L$2:$L$300)</f>
        <v>0</v>
      </c>
      <c r="P44" s="13">
        <f>SUMIF(Mercado_Receita!$S$2:$S$300,"44652B3BrancaNão se aplicaNão se aplicaNão se aplicaNão se aplicaFora ponta",Mercado_Receita!$L$2:$L$300)</f>
        <v>0</v>
      </c>
      <c r="Q44" s="13">
        <f>SUMIF(Mercado_Receita!$S$2:$S$300,"44682B3BrancaNão se aplicaNão se aplicaNão se aplicaNão se aplicaFora ponta",Mercado_Receita!$L$2:$L$300)</f>
        <v>0</v>
      </c>
      <c r="R44" s="13">
        <f>SUMIF(Mercado_Receita!$S$2:$S$300,"44713B3BrancaNão se aplicaNão se aplicaNão se aplicaNão se aplicaFora ponta",Mercado_Receita!$L$2:$L$300)</f>
        <v>0</v>
      </c>
      <c r="S44" s="13">
        <f>SUMIF(Mercado_Receita!$S$2:$S$300,"44743B3BrancaNão se aplicaNão se aplicaNão se aplicaNão se aplicaFora ponta",Mercado_Receita!$L$2:$L$300)</f>
        <v>0</v>
      </c>
      <c r="T44" s="13">
        <f>SUMIF(Mercado_Receita!$S$2:$S$300,"44774B3BrancaNão se aplicaNão se aplicaNão se aplicaNão se aplicaFora ponta",Mercado_Receita!$L$2:$L$300)</f>
        <v>0</v>
      </c>
      <c r="U44" s="13">
        <f t="shared" si="0"/>
        <v>0</v>
      </c>
      <c r="V44" s="13"/>
      <c r="W44" s="13"/>
    </row>
    <row r="45" spans="1:23" ht="11.25" customHeight="1" x14ac:dyDescent="0.3">
      <c r="A45" s="82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72</v>
      </c>
      <c r="H45" s="13" t="s">
        <v>68</v>
      </c>
      <c r="I45" s="13">
        <f>SUMIF(Mercado_Receita!$S$2:$S$300,"44440B3ConvencionalNão se aplicaNão se aplicaNão se aplicaNão se aplicaPonta",Mercado_Receita!$L$2:$L$300)+SUMIF(Mercado_Receita!$S$2:$S$300,"44440B3ConvencionalNão se aplicaNão se aplicaNão se aplicaNão se aplicaFora ponta",Mercado_Receita!$L$2:$L$300)+SUMIF(Mercado_Receita!$S$2:$S$300,"44440B3ConvencionalNão se aplicaNão se aplicaNão se aplicaNão se aplicaIntermediário",Mercado_Receita!$L$2:$L$300)+SUMIF(Mercado_Receita!$S$2:$S$300,"44440B3ConvencionalNão se aplicaNão se aplicaNão se aplicaNão se aplicaNão se aplica",Mercado_Receita!$L$2:$L$300)</f>
        <v>49.334000000000003</v>
      </c>
      <c r="J45" s="13">
        <f>SUMIF(Mercado_Receita!$S$2:$S$300,"44470B3ConvencionalNão se aplicaNão se aplicaNão se aplicaNão se aplicaPonta",Mercado_Receita!$L$2:$L$300)+SUMIF(Mercado_Receita!$S$2:$S$300,"44470B3ConvencionalNão se aplicaNão se aplicaNão se aplicaNão se aplicaFora ponta",Mercado_Receita!$L$2:$L$300)+SUMIF(Mercado_Receita!$S$2:$S$300,"44470B3ConvencionalNão se aplicaNão se aplicaNão se aplicaNão se aplicaIntermediário",Mercado_Receita!$L$2:$L$300)+SUMIF(Mercado_Receita!$S$2:$S$300,"44470B3ConvencionalNão se aplicaNão se aplicaNão se aplicaNão se aplicaNão se aplica",Mercado_Receita!$L$2:$L$300)</f>
        <v>50.281000000000006</v>
      </c>
      <c r="K45" s="13">
        <f>SUMIF(Mercado_Receita!$S$2:$S$300,"44501B3ConvencionalNão se aplicaNão se aplicaNão se aplicaNão se aplicaPonta",Mercado_Receita!$L$2:$L$300)+SUMIF(Mercado_Receita!$S$2:$S$300,"44501B3ConvencionalNão se aplicaNão se aplicaNão se aplicaNão se aplicaFora ponta",Mercado_Receita!$L$2:$L$300)+SUMIF(Mercado_Receita!$S$2:$S$300,"44501B3ConvencionalNão se aplicaNão se aplicaNão se aplicaNão se aplicaIntermediário",Mercado_Receita!$L$2:$L$300)+SUMIF(Mercado_Receita!$S$2:$S$300,"44501B3ConvencionalNão se aplicaNão se aplicaNão se aplicaNão se aplicaNão se aplica",Mercado_Receita!$L$2:$L$300)</f>
        <v>47.863</v>
      </c>
      <c r="L45" s="13">
        <f>SUMIF(Mercado_Receita!$S$2:$S$300,"44531B3ConvencionalNão se aplicaNão se aplicaNão se aplicaNão se aplicaPonta",Mercado_Receita!$L$2:$L$300)+SUMIF(Mercado_Receita!$S$2:$S$300,"44531B3ConvencionalNão se aplicaNão se aplicaNão se aplicaNão se aplicaFora ponta",Mercado_Receita!$L$2:$L$300)+SUMIF(Mercado_Receita!$S$2:$S$300,"44531B3ConvencionalNão se aplicaNão se aplicaNão se aplicaNão se aplicaIntermediário",Mercado_Receita!$L$2:$L$300)+SUMIF(Mercado_Receita!$S$2:$S$300,"44531B3ConvencionalNão se aplicaNão se aplicaNão se aplicaNão se aplicaNão se aplica",Mercado_Receita!$L$2:$L$300)</f>
        <v>50.364000000000004</v>
      </c>
      <c r="M45" s="13">
        <f>SUMIF(Mercado_Receita!$S$2:$S$300,"44562B3ConvencionalNão se aplicaNão se aplicaNão se aplicaNão se aplicaPonta",Mercado_Receita!$L$2:$L$300)+SUMIF(Mercado_Receita!$S$2:$S$300,"44562B3ConvencionalNão se aplicaNão se aplicaNão se aplicaNão se aplicaFora ponta",Mercado_Receita!$L$2:$L$300)+SUMIF(Mercado_Receita!$S$2:$S$300,"44562B3ConvencionalNão se aplicaNão se aplicaNão se aplicaNão se aplicaIntermediário",Mercado_Receita!$L$2:$L$300)+SUMIF(Mercado_Receita!$S$2:$S$300,"44562B3ConvencionalNão se aplicaNão se aplicaNão se aplicaNão se aplicaNão se aplica",Mercado_Receita!$L$2:$L$300)</f>
        <v>64.054000000000002</v>
      </c>
      <c r="N45" s="13">
        <f>SUMIF(Mercado_Receita!$S$2:$S$300,"44593B3ConvencionalNão se aplicaNão se aplicaNão se aplicaNão se aplicaPonta",Mercado_Receita!$L$2:$L$300)+SUMIF(Mercado_Receita!$S$2:$S$300,"44593B3ConvencionalNão se aplicaNão se aplicaNão se aplicaNão se aplicaFora ponta",Mercado_Receita!$L$2:$L$300)+SUMIF(Mercado_Receita!$S$2:$S$300,"44593B3ConvencionalNão se aplicaNão se aplicaNão se aplicaNão se aplicaIntermediário",Mercado_Receita!$L$2:$L$300)+SUMIF(Mercado_Receita!$S$2:$S$300,"44593B3ConvencionalNão se aplicaNão se aplicaNão se aplicaNão se aplicaNão se aplica",Mercado_Receita!$L$2:$L$300)</f>
        <v>53.697000000000003</v>
      </c>
      <c r="O45" s="13">
        <f>SUMIF(Mercado_Receita!$S$2:$S$300,"44621B3ConvencionalNão se aplicaNão se aplicaNão se aplicaNão se aplicaPonta",Mercado_Receita!$L$2:$L$300)+SUMIF(Mercado_Receita!$S$2:$S$300,"44621B3ConvencionalNão se aplicaNão se aplicaNão se aplicaNão se aplicaFora ponta",Mercado_Receita!$L$2:$L$300)+SUMIF(Mercado_Receita!$S$2:$S$300,"44621B3ConvencionalNão se aplicaNão se aplicaNão se aplicaNão se aplicaIntermediário",Mercado_Receita!$L$2:$L$300)+SUMIF(Mercado_Receita!$S$2:$S$300,"44621B3ConvencionalNão se aplicaNão se aplicaNão se aplicaNão se aplicaNão se aplica",Mercado_Receita!$L$2:$L$300)</f>
        <v>51.793999999999997</v>
      </c>
      <c r="P45" s="13">
        <f>SUMIF(Mercado_Receita!$S$2:$S$300,"44652B3ConvencionalNão se aplicaNão se aplicaNão se aplicaNão se aplicaPonta",Mercado_Receita!$L$2:$L$300)+SUMIF(Mercado_Receita!$S$2:$S$300,"44652B3ConvencionalNão se aplicaNão se aplicaNão se aplicaNão se aplicaFora ponta",Mercado_Receita!$L$2:$L$300)+SUMIF(Mercado_Receita!$S$2:$S$300,"44652B3ConvencionalNão se aplicaNão se aplicaNão se aplicaNão se aplicaIntermediário",Mercado_Receita!$L$2:$L$300)+SUMIF(Mercado_Receita!$S$2:$S$300,"44652B3ConvencionalNão se aplicaNão se aplicaNão se aplicaNão se aplicaNão se aplica",Mercado_Receita!$L$2:$L$300)</f>
        <v>65.251000000000005</v>
      </c>
      <c r="Q45" s="13">
        <f>SUMIF(Mercado_Receita!$S$2:$S$300,"44682B3ConvencionalNão se aplicaNão se aplicaNão se aplicaNão se aplicaPonta",Mercado_Receita!$L$2:$L$300)+SUMIF(Mercado_Receita!$S$2:$S$300,"44682B3ConvencionalNão se aplicaNão se aplicaNão se aplicaNão se aplicaFora ponta",Mercado_Receita!$L$2:$L$300)+SUMIF(Mercado_Receita!$S$2:$S$300,"44682B3ConvencionalNão se aplicaNão se aplicaNão se aplicaNão se aplicaIntermediário",Mercado_Receita!$L$2:$L$300)+SUMIF(Mercado_Receita!$S$2:$S$300,"44682B3ConvencionalNão se aplicaNão se aplicaNão se aplicaNão se aplicaNão se aplica",Mercado_Receita!$L$2:$L$300)</f>
        <v>63.838999999999999</v>
      </c>
      <c r="R45" s="13">
        <f>SUMIF(Mercado_Receita!$S$2:$S$300,"44713B3ConvencionalNão se aplicaNão se aplicaNão se aplicaNão se aplicaPonta",Mercado_Receita!$L$2:$L$300)+SUMIF(Mercado_Receita!$S$2:$S$300,"44713B3ConvencionalNão se aplicaNão se aplicaNão se aplicaNão se aplicaFora ponta",Mercado_Receita!$L$2:$L$300)+SUMIF(Mercado_Receita!$S$2:$S$300,"44713B3ConvencionalNão se aplicaNão se aplicaNão se aplicaNão se aplicaIntermediário",Mercado_Receita!$L$2:$L$300)+SUMIF(Mercado_Receita!$S$2:$S$300,"44713B3ConvencionalNão se aplicaNão se aplicaNão se aplicaNão se aplicaNão se aplica",Mercado_Receita!$L$2:$L$300)</f>
        <v>42.963999999999999</v>
      </c>
      <c r="S45" s="13">
        <f>SUMIF(Mercado_Receita!$S$2:$S$300,"44743B3ConvencionalNão se aplicaNão se aplicaNão se aplicaNão se aplicaPonta",Mercado_Receita!$L$2:$L$300)+SUMIF(Mercado_Receita!$S$2:$S$300,"44743B3ConvencionalNão se aplicaNão se aplicaNão se aplicaNão se aplicaFora ponta",Mercado_Receita!$L$2:$L$300)+SUMIF(Mercado_Receita!$S$2:$S$300,"44743B3ConvencionalNão se aplicaNão se aplicaNão se aplicaNão se aplicaIntermediário",Mercado_Receita!$L$2:$L$300)+SUMIF(Mercado_Receita!$S$2:$S$300,"44743B3ConvencionalNão se aplicaNão se aplicaNão se aplicaNão se aplicaNão se aplica",Mercado_Receita!$L$2:$L$300)</f>
        <v>51.498999999999995</v>
      </c>
      <c r="T45" s="13">
        <f>SUMIF(Mercado_Receita!$S$2:$S$300,"44774B3ConvencionalNão se aplicaNão se aplicaNão se aplicaNão se aplicaPonta",Mercado_Receita!$L$2:$L$300)+SUMIF(Mercado_Receita!$S$2:$S$300,"44774B3ConvencionalNão se aplicaNão se aplicaNão se aplicaNão se aplicaFora ponta",Mercado_Receita!$L$2:$L$300)+SUMIF(Mercado_Receita!$S$2:$S$300,"44774B3ConvencionalNão se aplicaNão se aplicaNão se aplicaNão se aplicaIntermediário",Mercado_Receita!$L$2:$L$300)+SUMIF(Mercado_Receita!$S$2:$S$300,"44774B3ConvencionalNão se aplicaNão se aplicaNão se aplicaNão se aplicaNão se aplica",Mercado_Receita!$L$2:$L$300)</f>
        <v>52.515999999999998</v>
      </c>
      <c r="U45" s="13">
        <f t="shared" si="0"/>
        <v>643.45600000000002</v>
      </c>
      <c r="V45" s="13"/>
      <c r="W45" s="13"/>
    </row>
    <row r="46" spans="1:23" ht="11.25" customHeight="1" x14ac:dyDescent="0.3">
      <c r="A46" s="82"/>
      <c r="B46" s="12" t="s">
        <v>84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72</v>
      </c>
      <c r="H46" s="13" t="s">
        <v>68</v>
      </c>
      <c r="I46" s="13">
        <f>SUMIF(Mercado_Receita!$S$2:$S$300,"44440B3Convencional pré-pagamentoNão se aplicaNão se aplicaNão se aplicaNão se aplicaPonta",Mercado_Receita!$L$2:$L$300)+SUMIF(Mercado_Receita!$S$2:$S$300,"44440B3Convencional pré-pagamentoNão se aplicaNão se aplicaNão se aplicaNão se aplicaFora ponta",Mercado_Receita!$L$2:$L$300)+SUMIF(Mercado_Receita!$S$2:$S$300,"44440B3Convencional pré-pagamentoNão se aplicaNão se aplicaNão se aplicaNão se aplicaIntermediário",Mercado_Receita!$L$2:$L$300)+SUMIF(Mercado_Receita!$S$2:$S$300,"44440B3Convencional pré-pagamentoNão se aplicaNão se aplicaNão se aplicaNão se aplicaNão se aplica",Mercado_Receita!$L$2:$L$300)</f>
        <v>0</v>
      </c>
      <c r="J46" s="13">
        <f>SUMIF(Mercado_Receita!$S$2:$S$300,"44470B3Convencional pré-pagamentoNão se aplicaNão se aplicaNão se aplicaNão se aplicaPonta",Mercado_Receita!$L$2:$L$300)+SUMIF(Mercado_Receita!$S$2:$S$300,"44470B3Convencional pré-pagamentoNão se aplicaNão se aplicaNão se aplicaNão se aplicaFora ponta",Mercado_Receita!$L$2:$L$300)+SUMIF(Mercado_Receita!$S$2:$S$300,"44470B3Convencional pré-pagamentoNão se aplicaNão se aplicaNão se aplicaNão se aplicaIntermediário",Mercado_Receita!$L$2:$L$300)+SUMIF(Mercado_Receita!$S$2:$S$300,"44470B3Convencional pré-pagamentoNão se aplicaNão se aplicaNão se aplicaNão se aplicaNão se aplica",Mercado_Receita!$L$2:$L$300)</f>
        <v>0</v>
      </c>
      <c r="K46" s="13">
        <f>SUMIF(Mercado_Receita!$S$2:$S$300,"44501B3Convencional pré-pagamentoNão se aplicaNão se aplicaNão se aplicaNão se aplicaPonta",Mercado_Receita!$L$2:$L$300)+SUMIF(Mercado_Receita!$S$2:$S$300,"44501B3Convencional pré-pagamentoNão se aplicaNão se aplicaNão se aplicaNão se aplicaFora ponta",Mercado_Receita!$L$2:$L$300)+SUMIF(Mercado_Receita!$S$2:$S$300,"44501B3Convencional pré-pagamentoNão se aplicaNão se aplicaNão se aplicaNão se aplicaIntermediário",Mercado_Receita!$L$2:$L$300)+SUMIF(Mercado_Receita!$S$2:$S$300,"44501B3Convencional pré-pagamentoNão se aplicaNão se aplicaNão se aplicaNão se aplicaNão se aplica",Mercado_Receita!$L$2:$L$300)</f>
        <v>0</v>
      </c>
      <c r="L46" s="13">
        <f>SUMIF(Mercado_Receita!$S$2:$S$300,"44531B3Convencional pré-pagamentoNão se aplicaNão se aplicaNão se aplicaNão se aplicaPonta",Mercado_Receita!$L$2:$L$300)+SUMIF(Mercado_Receita!$S$2:$S$300,"44531B3Convencional pré-pagamentoNão se aplicaNão se aplicaNão se aplicaNão se aplicaFora ponta",Mercado_Receita!$L$2:$L$300)+SUMIF(Mercado_Receita!$S$2:$S$300,"44531B3Convencional pré-pagamentoNão se aplicaNão se aplicaNão se aplicaNão se aplicaIntermediário",Mercado_Receita!$L$2:$L$300)+SUMIF(Mercado_Receita!$S$2:$S$300,"44531B3Convencional pré-pagamentoNão se aplicaNão se aplicaNão se aplicaNão se aplicaNão se aplica",Mercado_Receita!$L$2:$L$300)</f>
        <v>0</v>
      </c>
      <c r="M46" s="13">
        <f>SUMIF(Mercado_Receita!$S$2:$S$300,"44562B3Convencional pré-pagamentoNão se aplicaNão se aplicaNão se aplicaNão se aplicaPonta",Mercado_Receita!$L$2:$L$300)+SUMIF(Mercado_Receita!$S$2:$S$300,"44562B3Convencional pré-pagamentoNão se aplicaNão se aplicaNão se aplicaNão se aplicaFora ponta",Mercado_Receita!$L$2:$L$300)+SUMIF(Mercado_Receita!$S$2:$S$300,"44562B3Convencional pré-pagamentoNão se aplicaNão se aplicaNão se aplicaNão se aplicaIntermediário",Mercado_Receita!$L$2:$L$300)+SUMIF(Mercado_Receita!$S$2:$S$300,"44562B3Convencional pré-pagamentoNão se aplicaNão se aplicaNão se aplicaNão se aplicaNão se aplica",Mercado_Receita!$L$2:$L$300)</f>
        <v>0</v>
      </c>
      <c r="N46" s="13">
        <f>SUMIF(Mercado_Receita!$S$2:$S$300,"44593B3Convencional pré-pagamentoNão se aplicaNão se aplicaNão se aplicaNão se aplicaPonta",Mercado_Receita!$L$2:$L$300)+SUMIF(Mercado_Receita!$S$2:$S$300,"44593B3Convencional pré-pagamentoNão se aplicaNão se aplicaNão se aplicaNão se aplicaFora ponta",Mercado_Receita!$L$2:$L$300)+SUMIF(Mercado_Receita!$S$2:$S$300,"44593B3Convencional pré-pagamentoNão se aplicaNão se aplicaNão se aplicaNão se aplicaIntermediário",Mercado_Receita!$L$2:$L$300)+SUMIF(Mercado_Receita!$S$2:$S$300,"44593B3Convencional pré-pagamentoNão se aplicaNão se aplicaNão se aplicaNão se aplicaNão se aplica",Mercado_Receita!$L$2:$L$300)</f>
        <v>0</v>
      </c>
      <c r="O46" s="13">
        <f>SUMIF(Mercado_Receita!$S$2:$S$300,"44621B3Convencional pré-pagamentoNão se aplicaNão se aplicaNão se aplicaNão se aplicaPonta",Mercado_Receita!$L$2:$L$300)+SUMIF(Mercado_Receita!$S$2:$S$300,"44621B3Convencional pré-pagamentoNão se aplicaNão se aplicaNão se aplicaNão se aplicaFora ponta",Mercado_Receita!$L$2:$L$300)+SUMIF(Mercado_Receita!$S$2:$S$300,"44621B3Convencional pré-pagamentoNão se aplicaNão se aplicaNão se aplicaNão se aplicaIntermediário",Mercado_Receita!$L$2:$L$300)+SUMIF(Mercado_Receita!$S$2:$S$300,"44621B3Convencional pré-pagamentoNão se aplicaNão se aplicaNão se aplicaNão se aplicaNão se aplica",Mercado_Receita!$L$2:$L$300)</f>
        <v>0</v>
      </c>
      <c r="P46" s="13">
        <f>SUMIF(Mercado_Receita!$S$2:$S$300,"44652B3Convencional pré-pagamentoNão se aplicaNão se aplicaNão se aplicaNão se aplicaPonta",Mercado_Receita!$L$2:$L$300)+SUMIF(Mercado_Receita!$S$2:$S$300,"44652B3Convencional pré-pagamentoNão se aplicaNão se aplicaNão se aplicaNão se aplicaFora ponta",Mercado_Receita!$L$2:$L$300)+SUMIF(Mercado_Receita!$S$2:$S$300,"44652B3Convencional pré-pagamentoNão se aplicaNão se aplicaNão se aplicaNão se aplicaIntermediário",Mercado_Receita!$L$2:$L$300)+SUMIF(Mercado_Receita!$S$2:$S$300,"44652B3Convencional pré-pagamentoNão se aplicaNão se aplicaNão se aplicaNão se aplicaNão se aplica",Mercado_Receita!$L$2:$L$300)</f>
        <v>0</v>
      </c>
      <c r="Q46" s="13">
        <f>SUMIF(Mercado_Receita!$S$2:$S$300,"44682B3Convencional pré-pagamentoNão se aplicaNão se aplicaNão se aplicaNão se aplicaPonta",Mercado_Receita!$L$2:$L$300)+SUMIF(Mercado_Receita!$S$2:$S$300,"44682B3Convencional pré-pagamentoNão se aplicaNão se aplicaNão se aplicaNão se aplicaFora ponta",Mercado_Receita!$L$2:$L$300)+SUMIF(Mercado_Receita!$S$2:$S$300,"44682B3Convencional pré-pagamentoNão se aplicaNão se aplicaNão se aplicaNão se aplicaIntermediário",Mercado_Receita!$L$2:$L$300)+SUMIF(Mercado_Receita!$S$2:$S$300,"44682B3Convencional pré-pagamentoNão se aplicaNão se aplicaNão se aplicaNão se aplicaNão se aplica",Mercado_Receita!$L$2:$L$300)</f>
        <v>0</v>
      </c>
      <c r="R46" s="13">
        <f>SUMIF(Mercado_Receita!$S$2:$S$300,"44713B3Convencional pré-pagamentoNão se aplicaNão se aplicaNão se aplicaNão se aplicaPonta",Mercado_Receita!$L$2:$L$300)+SUMIF(Mercado_Receita!$S$2:$S$300,"44713B3Convencional pré-pagamentoNão se aplicaNão se aplicaNão se aplicaNão se aplicaFora ponta",Mercado_Receita!$L$2:$L$300)+SUMIF(Mercado_Receita!$S$2:$S$300,"44713B3Convencional pré-pagamentoNão se aplicaNão se aplicaNão se aplicaNão se aplicaIntermediário",Mercado_Receita!$L$2:$L$300)+SUMIF(Mercado_Receita!$S$2:$S$300,"44713B3Convencional pré-pagamentoNão se aplicaNão se aplicaNão se aplicaNão se aplicaNão se aplica",Mercado_Receita!$L$2:$L$300)</f>
        <v>0</v>
      </c>
      <c r="S46" s="13">
        <f>SUMIF(Mercado_Receita!$S$2:$S$300,"44743B3Convencional pré-pagamentoNão se aplicaNão se aplicaNão se aplicaNão se aplicaPonta",Mercado_Receita!$L$2:$L$300)+SUMIF(Mercado_Receita!$S$2:$S$300,"44743B3Convencional pré-pagamentoNão se aplicaNão se aplicaNão se aplicaNão se aplicaFora ponta",Mercado_Receita!$L$2:$L$300)+SUMIF(Mercado_Receita!$S$2:$S$300,"44743B3Convencional pré-pagamentoNão se aplicaNão se aplicaNão se aplicaNão se aplicaIntermediário",Mercado_Receita!$L$2:$L$300)+SUMIF(Mercado_Receita!$S$2:$S$300,"44743B3Convencional pré-pagamentoNão se aplicaNão se aplicaNão se aplicaNão se aplicaNão se aplica",Mercado_Receita!$L$2:$L$300)</f>
        <v>0</v>
      </c>
      <c r="T46" s="13">
        <f>SUMIF(Mercado_Receita!$S$2:$S$300,"44774B3Convencional pré-pagamentoNão se aplicaNão se aplicaNão se aplicaNão se aplicaPonta",Mercado_Receita!$L$2:$L$300)+SUMIF(Mercado_Receita!$S$2:$S$300,"44774B3Convencional pré-pagamentoNão se aplicaNão se aplicaNão se aplicaNão se aplicaFora ponta",Mercado_Receita!$L$2:$L$300)+SUMIF(Mercado_Receita!$S$2:$S$300,"44774B3Convencional pré-pagamentoNão se aplicaNão se aplicaNão se aplicaNão se aplicaIntermediário",Mercado_Receita!$L$2:$L$300)+SUMIF(Mercado_Receita!$S$2:$S$300,"44774B3Convencional pré-pagamentoNão se aplicaNão se aplicaNão se aplicaNão se aplicaNão se aplica",Mercado_Receita!$L$2:$L$300)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81" t="s">
        <v>44</v>
      </c>
      <c r="B47" s="81" t="s">
        <v>23</v>
      </c>
      <c r="C47" s="81" t="s">
        <v>45</v>
      </c>
      <c r="D47" s="12" t="s">
        <v>46</v>
      </c>
      <c r="E47" s="12" t="s">
        <v>25</v>
      </c>
      <c r="F47" s="12" t="s">
        <v>25</v>
      </c>
      <c r="G47" s="13" t="s">
        <v>72</v>
      </c>
      <c r="H47" s="13" t="s">
        <v>68</v>
      </c>
      <c r="I47" s="13">
        <f>SUMIF(Mercado_Receita!$S$2:$S$300,"44440B4ConvencionalIluminação públicaIluminação pública – B4aNão se aplicaNão se aplicaPonta",Mercado_Receita!$L$2:$L$300)+SUMIF(Mercado_Receita!$S$2:$S$300,"44440B4ConvencionalIluminação públicaIluminação pública – B4aNão se aplicaNão se aplicaFora ponta",Mercado_Receita!$L$2:$L$300)+SUMIF(Mercado_Receita!$S$2:$S$300,"44440B4ConvencionalIluminação públicaIluminação pública – B4aNão se aplicaNão se aplicaIntermediário",Mercado_Receita!$L$2:$L$300)+SUMIF(Mercado_Receita!$S$2:$S$300,"44440B4ConvencionalIluminação públicaIluminação pública – B4aNão se aplicaNão se aplicaNão se aplica",Mercado_Receita!$L$2:$L$300)</f>
        <v>43.204999999999998</v>
      </c>
      <c r="J47" s="13">
        <f>SUMIF(Mercado_Receita!$S$2:$S$300,"44470B4ConvencionalIluminação públicaIluminação pública – B4aNão se aplicaNão se aplicaPonta",Mercado_Receita!$L$2:$L$300)+SUMIF(Mercado_Receita!$S$2:$S$300,"44470B4ConvencionalIluminação públicaIluminação pública – B4aNão se aplicaNão se aplicaFora ponta",Mercado_Receita!$L$2:$L$300)+SUMIF(Mercado_Receita!$S$2:$S$300,"44470B4ConvencionalIluminação públicaIluminação pública – B4aNão se aplicaNão se aplicaIntermediário",Mercado_Receita!$L$2:$L$300)+SUMIF(Mercado_Receita!$S$2:$S$300,"44470B4ConvencionalIluminação públicaIluminação pública – B4aNão se aplicaNão se aplicaNão se aplica",Mercado_Receita!$L$2:$L$300)</f>
        <v>44.646999999999998</v>
      </c>
      <c r="K47" s="13">
        <f>SUMIF(Mercado_Receita!$S$2:$S$300,"44501B4ConvencionalIluminação públicaIluminação pública – B4aNão se aplicaNão se aplicaPonta",Mercado_Receita!$L$2:$L$300)+SUMIF(Mercado_Receita!$S$2:$S$300,"44501B4ConvencionalIluminação públicaIluminação pública – B4aNão se aplicaNão se aplicaFora ponta",Mercado_Receita!$L$2:$L$300)+SUMIF(Mercado_Receita!$S$2:$S$300,"44501B4ConvencionalIluminação públicaIluminação pública – B4aNão se aplicaNão se aplicaIntermediário",Mercado_Receita!$L$2:$L$300)+SUMIF(Mercado_Receita!$S$2:$S$300,"44501B4ConvencionalIluminação públicaIluminação pública – B4aNão se aplicaNão se aplicaNão se aplica",Mercado_Receita!$L$2:$L$300)</f>
        <v>45.448</v>
      </c>
      <c r="L47" s="13">
        <f>SUMIF(Mercado_Receita!$S$2:$S$300,"44531B4ConvencionalIluminação públicaIluminação pública – B4aNão se aplicaNão se aplicaPonta",Mercado_Receita!$L$2:$L$300)+SUMIF(Mercado_Receita!$S$2:$S$300,"44531B4ConvencionalIluminação públicaIluminação pública – B4aNão se aplicaNão se aplicaFora ponta",Mercado_Receita!$L$2:$L$300)+SUMIF(Mercado_Receita!$S$2:$S$300,"44531B4ConvencionalIluminação públicaIluminação pública – B4aNão se aplicaNão se aplicaIntermediário",Mercado_Receita!$L$2:$L$300)+SUMIF(Mercado_Receita!$S$2:$S$300,"44531B4ConvencionalIluminação públicaIluminação pública – B4aNão se aplicaNão se aplicaNão se aplica",Mercado_Receita!$L$2:$L$300)</f>
        <v>46.963999999999999</v>
      </c>
      <c r="M47" s="13">
        <f>SUMIF(Mercado_Receita!$S$2:$S$300,"44562B4ConvencionalIluminação públicaIluminação pública – B4aNão se aplicaNão se aplicaPonta",Mercado_Receita!$L$2:$L$300)+SUMIF(Mercado_Receita!$S$2:$S$300,"44562B4ConvencionalIluminação públicaIluminação pública – B4aNão se aplicaNão se aplicaFora ponta",Mercado_Receita!$L$2:$L$300)+SUMIF(Mercado_Receita!$S$2:$S$300,"44562B4ConvencionalIluminação públicaIluminação pública – B4aNão se aplicaNão se aplicaIntermediário",Mercado_Receita!$L$2:$L$300)+SUMIF(Mercado_Receita!$S$2:$S$300,"44562B4ConvencionalIluminação públicaIluminação pública – B4aNão se aplicaNão se aplicaNão se aplica",Mercado_Receita!$L$2:$L$300)</f>
        <v>46.963999999999999</v>
      </c>
      <c r="N47" s="13">
        <f>SUMIF(Mercado_Receita!$S$2:$S$300,"44593B4ConvencionalIluminação públicaIluminação pública – B4aNão se aplicaNão se aplicaPonta",Mercado_Receita!$L$2:$L$300)+SUMIF(Mercado_Receita!$S$2:$S$300,"44593B4ConvencionalIluminação públicaIluminação pública – B4aNão se aplicaNão se aplicaFora ponta",Mercado_Receita!$L$2:$L$300)+SUMIF(Mercado_Receita!$S$2:$S$300,"44593B4ConvencionalIluminação públicaIluminação pública – B4aNão se aplicaNão se aplicaIntermediário",Mercado_Receita!$L$2:$L$300)+SUMIF(Mercado_Receita!$S$2:$S$300,"44593B4ConvencionalIluminação públicaIluminação pública – B4aNão se aplicaNão se aplicaNão se aplica",Mercado_Receita!$L$2:$L$300)</f>
        <v>43.518000000000001</v>
      </c>
      <c r="O47" s="13">
        <f>SUMIF(Mercado_Receita!$S$2:$S$300,"44621B4ConvencionalIluminação públicaIluminação pública – B4aNão se aplicaNão se aplicaPonta",Mercado_Receita!$L$2:$L$300)+SUMIF(Mercado_Receita!$S$2:$S$300,"44621B4ConvencionalIluminação públicaIluminação pública – B4aNão se aplicaNão se aplicaFora ponta",Mercado_Receita!$L$2:$L$300)+SUMIF(Mercado_Receita!$S$2:$S$300,"44621B4ConvencionalIluminação públicaIluminação pública – B4aNão se aplicaNão se aplicaIntermediário",Mercado_Receita!$L$2:$L$300)+SUMIF(Mercado_Receita!$S$2:$S$300,"44621B4ConvencionalIluminação públicaIluminação pública – B4aNão se aplicaNão se aplicaNão se aplica",Mercado_Receita!$L$2:$L$300)</f>
        <v>46.963999999999999</v>
      </c>
      <c r="P47" s="13">
        <f>SUMIF(Mercado_Receita!$S$2:$S$300,"44652B4ConvencionalIluminação públicaIluminação pública – B4aNão se aplicaNão se aplicaPonta",Mercado_Receita!$L$2:$L$300)+SUMIF(Mercado_Receita!$S$2:$S$300,"44652B4ConvencionalIluminação públicaIluminação pública – B4aNão se aplicaNão se aplicaFora ponta",Mercado_Receita!$L$2:$L$300)+SUMIF(Mercado_Receita!$S$2:$S$300,"44652B4ConvencionalIluminação públicaIluminação pública – B4aNão se aplicaNão se aplicaIntermediário",Mercado_Receita!$L$2:$L$300)+SUMIF(Mercado_Receita!$S$2:$S$300,"44652B4ConvencionalIluminação públicaIluminação pública – B4aNão se aplicaNão se aplicaNão se aplica",Mercado_Receita!$L$2:$L$300)</f>
        <v>42.676000000000002</v>
      </c>
      <c r="Q47" s="13">
        <f>SUMIF(Mercado_Receita!$S$2:$S$300,"44682B4ConvencionalIluminação públicaIluminação pública – B4aNão se aplicaNão se aplicaPonta",Mercado_Receita!$L$2:$L$300)+SUMIF(Mercado_Receita!$S$2:$S$300,"44682B4ConvencionalIluminação públicaIluminação pública – B4aNão se aplicaNão se aplicaFora ponta",Mercado_Receita!$L$2:$L$300)+SUMIF(Mercado_Receita!$S$2:$S$300,"44682B4ConvencionalIluminação públicaIluminação pública – B4aNão se aplicaNão se aplicaIntermediário",Mercado_Receita!$L$2:$L$300)+SUMIF(Mercado_Receita!$S$2:$S$300,"44682B4ConvencionalIluminação públicaIluminação pública – B4aNão se aplicaNão se aplicaNão se aplica",Mercado_Receita!$L$2:$L$300)</f>
        <v>46.963999999999999</v>
      </c>
      <c r="R47" s="13">
        <f>SUMIF(Mercado_Receita!$S$2:$S$300,"44713B4ConvencionalIluminação públicaIluminação pública – B4aNão se aplicaNão se aplicaPonta",Mercado_Receita!$L$2:$L$300)+SUMIF(Mercado_Receita!$S$2:$S$300,"44713B4ConvencionalIluminação públicaIluminação pública – B4aNão se aplicaNão se aplicaFora ponta",Mercado_Receita!$L$2:$L$300)+SUMIF(Mercado_Receita!$S$2:$S$300,"44713B4ConvencionalIluminação públicaIluminação pública – B4aNão se aplicaNão se aplicaIntermediário",Mercado_Receita!$L$2:$L$300)+SUMIF(Mercado_Receita!$S$2:$S$300,"44713B4ConvencionalIluminação públicaIluminação pública – B4aNão se aplicaNão se aplicaNão se aplica",Mercado_Receita!$L$2:$L$300)</f>
        <v>45.448</v>
      </c>
      <c r="S47" s="13">
        <f>SUMIF(Mercado_Receita!$S$2:$S$300,"44743B4ConvencionalIluminação públicaIluminação pública – B4aNão se aplicaNão se aplicaPonta",Mercado_Receita!$L$2:$L$300)+SUMIF(Mercado_Receita!$S$2:$S$300,"44743B4ConvencionalIluminação públicaIluminação pública – B4aNão se aplicaNão se aplicaFora ponta",Mercado_Receita!$L$2:$L$300)+SUMIF(Mercado_Receita!$S$2:$S$300,"44743B4ConvencionalIluminação públicaIluminação pública – B4aNão se aplicaNão se aplicaIntermediário",Mercado_Receita!$L$2:$L$300)+SUMIF(Mercado_Receita!$S$2:$S$300,"44743B4ConvencionalIluminação públicaIluminação pública – B4aNão se aplicaNão se aplicaNão se aplica",Mercado_Receita!$L$2:$L$300)</f>
        <v>46.963999999999999</v>
      </c>
      <c r="T47" s="13">
        <f>SUMIF(Mercado_Receita!$S$2:$S$300,"44774B4ConvencionalIluminação públicaIluminação pública – B4aNão se aplicaNão se aplicaPonta",Mercado_Receita!$L$2:$L$300)+SUMIF(Mercado_Receita!$S$2:$S$300,"44774B4ConvencionalIluminação públicaIluminação pública – B4aNão se aplicaNão se aplicaFora ponta",Mercado_Receita!$L$2:$L$300)+SUMIF(Mercado_Receita!$S$2:$S$300,"44774B4ConvencionalIluminação públicaIluminação pública – B4aNão se aplicaNão se aplicaIntermediário",Mercado_Receita!$L$2:$L$300)+SUMIF(Mercado_Receita!$S$2:$S$300,"44774B4ConvencionalIluminação públicaIluminação pública – B4aNão se aplicaNão se aplicaNão se aplica",Mercado_Receita!$L$2:$L$300)</f>
        <v>46.963999999999999</v>
      </c>
      <c r="U47" s="13">
        <f t="shared" si="0"/>
        <v>546.72599999999989</v>
      </c>
      <c r="V47" s="13"/>
      <c r="W47" s="13"/>
    </row>
    <row r="48" spans="1:23" ht="11.25" customHeight="1" x14ac:dyDescent="0.3">
      <c r="A48" s="82"/>
      <c r="B48" s="82"/>
      <c r="C48" s="82"/>
      <c r="D48" s="13" t="s">
        <v>87</v>
      </c>
      <c r="E48" s="13" t="s">
        <v>25</v>
      </c>
      <c r="F48" s="13" t="s">
        <v>25</v>
      </c>
      <c r="G48" s="13" t="s">
        <v>72</v>
      </c>
      <c r="H48" s="13" t="s">
        <v>68</v>
      </c>
      <c r="I48" s="13">
        <f>SUMIF(Mercado_Receita!$S$2:$S$300,"44440B4ConvencionalIluminação públicaIluminação pública – B4bNão se aplicaNão se aplicaPonta",Mercado_Receita!$L$2:$L$300)+SUMIF(Mercado_Receita!$S$2:$S$300,"44440B4ConvencionalIluminação públicaIluminação pública – B4bNão se aplicaNão se aplicaFora ponta",Mercado_Receita!$L$2:$L$300)+SUMIF(Mercado_Receita!$S$2:$S$300,"44440B4ConvencionalIluminação públicaIluminação pública – B4bNão se aplicaNão se aplicaIntermediário",Mercado_Receita!$L$2:$L$300)+SUMIF(Mercado_Receita!$S$2:$S$300,"44440B4ConvencionalIluminação públicaIluminação pública – B4bNão se aplicaNão se aplicaNão se aplica",Mercado_Receita!$L$2:$L$300)</f>
        <v>0</v>
      </c>
      <c r="J48" s="13">
        <f>SUMIF(Mercado_Receita!$S$2:$S$300,"44470B4ConvencionalIluminação públicaIluminação pública – B4bNão se aplicaNão se aplicaPonta",Mercado_Receita!$L$2:$L$300)+SUMIF(Mercado_Receita!$S$2:$S$300,"44470B4ConvencionalIluminação públicaIluminação pública – B4bNão se aplicaNão se aplicaFora ponta",Mercado_Receita!$L$2:$L$300)+SUMIF(Mercado_Receita!$S$2:$S$300,"44470B4ConvencionalIluminação públicaIluminação pública – B4bNão se aplicaNão se aplicaIntermediário",Mercado_Receita!$L$2:$L$300)+SUMIF(Mercado_Receita!$S$2:$S$300,"44470B4ConvencionalIluminação públicaIluminação pública – B4bNão se aplicaNão se aplicaNão se aplica",Mercado_Receita!$L$2:$L$300)</f>
        <v>0</v>
      </c>
      <c r="K48" s="13">
        <f>SUMIF(Mercado_Receita!$S$2:$S$300,"44501B4ConvencionalIluminação públicaIluminação pública – B4bNão se aplicaNão se aplicaPonta",Mercado_Receita!$L$2:$L$300)+SUMIF(Mercado_Receita!$S$2:$S$300,"44501B4ConvencionalIluminação públicaIluminação pública – B4bNão se aplicaNão se aplicaFora ponta",Mercado_Receita!$L$2:$L$300)+SUMIF(Mercado_Receita!$S$2:$S$300,"44501B4ConvencionalIluminação públicaIluminação pública – B4bNão se aplicaNão se aplicaIntermediário",Mercado_Receita!$L$2:$L$300)+SUMIF(Mercado_Receita!$S$2:$S$300,"44501B4ConvencionalIluminação públicaIluminação pública – B4bNão se aplicaNão se aplicaNão se aplica",Mercado_Receita!$L$2:$L$300)</f>
        <v>0</v>
      </c>
      <c r="L48" s="13">
        <f>SUMIF(Mercado_Receita!$S$2:$S$300,"44531B4ConvencionalIluminação públicaIluminação pública – B4bNão se aplicaNão se aplicaPonta",Mercado_Receita!$L$2:$L$300)+SUMIF(Mercado_Receita!$S$2:$S$300,"44531B4ConvencionalIluminação públicaIluminação pública – B4bNão se aplicaNão se aplicaFora ponta",Mercado_Receita!$L$2:$L$300)+SUMIF(Mercado_Receita!$S$2:$S$300,"44531B4ConvencionalIluminação públicaIluminação pública – B4bNão se aplicaNão se aplicaIntermediário",Mercado_Receita!$L$2:$L$300)+SUMIF(Mercado_Receita!$S$2:$S$300,"44531B4ConvencionalIluminação públicaIluminação pública – B4bNão se aplicaNão se aplicaNão se aplica",Mercado_Receita!$L$2:$L$300)</f>
        <v>0</v>
      </c>
      <c r="M48" s="13">
        <f>SUMIF(Mercado_Receita!$S$2:$S$300,"44562B4ConvencionalIluminação públicaIluminação pública – B4bNão se aplicaNão se aplicaPonta",Mercado_Receita!$L$2:$L$300)+SUMIF(Mercado_Receita!$S$2:$S$300,"44562B4ConvencionalIluminação públicaIluminação pública – B4bNão se aplicaNão se aplicaFora ponta",Mercado_Receita!$L$2:$L$300)+SUMIF(Mercado_Receita!$S$2:$S$300,"44562B4ConvencionalIluminação públicaIluminação pública – B4bNão se aplicaNão se aplicaIntermediário",Mercado_Receita!$L$2:$L$300)+SUMIF(Mercado_Receita!$S$2:$S$300,"44562B4ConvencionalIluminação públicaIluminação pública – B4bNão se aplicaNão se aplicaNão se aplica",Mercado_Receita!$L$2:$L$300)</f>
        <v>0</v>
      </c>
      <c r="N48" s="13">
        <f>SUMIF(Mercado_Receita!$S$2:$S$300,"44593B4ConvencionalIluminação públicaIluminação pública – B4bNão se aplicaNão se aplicaPonta",Mercado_Receita!$L$2:$L$300)+SUMIF(Mercado_Receita!$S$2:$S$300,"44593B4ConvencionalIluminação públicaIluminação pública – B4bNão se aplicaNão se aplicaFora ponta",Mercado_Receita!$L$2:$L$300)+SUMIF(Mercado_Receita!$S$2:$S$300,"44593B4ConvencionalIluminação públicaIluminação pública – B4bNão se aplicaNão se aplicaIntermediário",Mercado_Receita!$L$2:$L$300)+SUMIF(Mercado_Receita!$S$2:$S$300,"44593B4ConvencionalIluminação públicaIluminação pública – B4bNão se aplicaNão se aplicaNão se aplica",Mercado_Receita!$L$2:$L$300)</f>
        <v>0</v>
      </c>
      <c r="O48" s="13">
        <f>SUMIF(Mercado_Receita!$S$2:$S$300,"44621B4ConvencionalIluminação públicaIluminação pública – B4bNão se aplicaNão se aplicaPonta",Mercado_Receita!$L$2:$L$300)+SUMIF(Mercado_Receita!$S$2:$S$300,"44621B4ConvencionalIluminação públicaIluminação pública – B4bNão se aplicaNão se aplicaFora ponta",Mercado_Receita!$L$2:$L$300)+SUMIF(Mercado_Receita!$S$2:$S$300,"44621B4ConvencionalIluminação públicaIluminação pública – B4bNão se aplicaNão se aplicaIntermediário",Mercado_Receita!$L$2:$L$300)+SUMIF(Mercado_Receita!$S$2:$S$300,"44621B4ConvencionalIluminação públicaIluminação pública – B4bNão se aplicaNão se aplicaNão se aplica",Mercado_Receita!$L$2:$L$300)</f>
        <v>0</v>
      </c>
      <c r="P48" s="13">
        <f>SUMIF(Mercado_Receita!$S$2:$S$300,"44652B4ConvencionalIluminação públicaIluminação pública – B4bNão se aplicaNão se aplicaPonta",Mercado_Receita!$L$2:$L$300)+SUMIF(Mercado_Receita!$S$2:$S$300,"44652B4ConvencionalIluminação públicaIluminação pública – B4bNão se aplicaNão se aplicaFora ponta",Mercado_Receita!$L$2:$L$300)+SUMIF(Mercado_Receita!$S$2:$S$300,"44652B4ConvencionalIluminação públicaIluminação pública – B4bNão se aplicaNão se aplicaIntermediário",Mercado_Receita!$L$2:$L$300)+SUMIF(Mercado_Receita!$S$2:$S$300,"44652B4ConvencionalIluminação públicaIluminação pública – B4bNão se aplicaNão se aplicaNão se aplica",Mercado_Receita!$L$2:$L$300)</f>
        <v>0</v>
      </c>
      <c r="Q48" s="13">
        <f>SUMIF(Mercado_Receita!$S$2:$S$300,"44682B4ConvencionalIluminação públicaIluminação pública – B4bNão se aplicaNão se aplicaPonta",Mercado_Receita!$L$2:$L$300)+SUMIF(Mercado_Receita!$S$2:$S$300,"44682B4ConvencionalIluminação públicaIluminação pública – B4bNão se aplicaNão se aplicaFora ponta",Mercado_Receita!$L$2:$L$300)+SUMIF(Mercado_Receita!$S$2:$S$300,"44682B4ConvencionalIluminação públicaIluminação pública – B4bNão se aplicaNão se aplicaIntermediário",Mercado_Receita!$L$2:$L$300)+SUMIF(Mercado_Receita!$S$2:$S$300,"44682B4ConvencionalIluminação públicaIluminação pública – B4bNão se aplicaNão se aplicaNão se aplica",Mercado_Receita!$L$2:$L$300)</f>
        <v>0</v>
      </c>
      <c r="R48" s="13">
        <f>SUMIF(Mercado_Receita!$S$2:$S$300,"44713B4ConvencionalIluminação públicaIluminação pública – B4bNão se aplicaNão se aplicaPonta",Mercado_Receita!$L$2:$L$300)+SUMIF(Mercado_Receita!$S$2:$S$300,"44713B4ConvencionalIluminação públicaIluminação pública – B4bNão se aplicaNão se aplicaFora ponta",Mercado_Receita!$L$2:$L$300)+SUMIF(Mercado_Receita!$S$2:$S$300,"44713B4ConvencionalIluminação públicaIluminação pública – B4bNão se aplicaNão se aplicaIntermediário",Mercado_Receita!$L$2:$L$300)+SUMIF(Mercado_Receita!$S$2:$S$300,"44713B4ConvencionalIluminação públicaIluminação pública – B4bNão se aplicaNão se aplicaNão se aplica",Mercado_Receita!$L$2:$L$300)</f>
        <v>0</v>
      </c>
      <c r="S48" s="13">
        <f>SUMIF(Mercado_Receita!$S$2:$S$300,"44743B4ConvencionalIluminação públicaIluminação pública – B4bNão se aplicaNão se aplicaPonta",Mercado_Receita!$L$2:$L$300)+SUMIF(Mercado_Receita!$S$2:$S$300,"44743B4ConvencionalIluminação públicaIluminação pública – B4bNão se aplicaNão se aplicaFora ponta",Mercado_Receita!$L$2:$L$300)+SUMIF(Mercado_Receita!$S$2:$S$300,"44743B4ConvencionalIluminação públicaIluminação pública – B4bNão se aplicaNão se aplicaIntermediário",Mercado_Receita!$L$2:$L$300)+SUMIF(Mercado_Receita!$S$2:$S$300,"44743B4ConvencionalIluminação públicaIluminação pública – B4bNão se aplicaNão se aplicaNão se aplica",Mercado_Receita!$L$2:$L$300)</f>
        <v>0</v>
      </c>
      <c r="T48" s="13">
        <f>SUMIF(Mercado_Receita!$S$2:$S$300,"44774B4ConvencionalIluminação públicaIluminação pública – B4bNão se aplicaNão se aplicaPonta",Mercado_Receita!$L$2:$L$300)+SUMIF(Mercado_Receita!$S$2:$S$300,"44774B4ConvencionalIluminação públicaIluminação pública – B4bNão se aplicaNão se aplicaFora ponta",Mercado_Receita!$L$2:$L$300)+SUMIF(Mercado_Receita!$S$2:$S$300,"44774B4ConvencionalIluminação públicaIluminação pública – B4bNão se aplicaNão se aplicaIntermediário",Mercado_Receita!$L$2:$L$300)+SUMIF(Mercado_Receita!$S$2:$S$300,"44774B4ConvencionalIluminação públicaIluminação pública – B4bNão se aplicaNão se aplicaNão se aplica",Mercado_Receita!$L$2:$L$300)</f>
        <v>0</v>
      </c>
      <c r="U48" s="13">
        <f t="shared" si="0"/>
        <v>0</v>
      </c>
      <c r="V48" s="13"/>
      <c r="W48" s="13"/>
    </row>
    <row r="49" spans="1:23" ht="11.25" customHeight="1" x14ac:dyDescent="0.3">
      <c r="A49" s="83" t="s">
        <v>394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1916-3BA3-4F21-9487-E67CB621A169}">
  <dimension ref="A1:AD40"/>
  <sheetViews>
    <sheetView showGridLines="0" workbookViewId="0">
      <selection sqref="A1:W40"/>
    </sheetView>
  </sheetViews>
  <sheetFormatPr defaultRowHeight="11.25" customHeight="1" x14ac:dyDescent="0.3"/>
  <cols>
    <col min="1" max="1" width="9" style="9" bestFit="1" customWidth="1"/>
    <col min="2" max="2" width="26.33203125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10" width="5.6640625" style="9" bestFit="1" customWidth="1"/>
    <col min="11" max="12" width="5.88671875" style="9" bestFit="1" customWidth="1"/>
    <col min="13" max="14" width="5.5546875" style="9" bestFit="1" customWidth="1"/>
    <col min="15" max="15" width="6.21875" style="9" bestFit="1" customWidth="1"/>
    <col min="16" max="16" width="5.6640625" style="9" bestFit="1" customWidth="1"/>
    <col min="17" max="17" width="5.88671875" style="9" bestFit="1" customWidth="1"/>
    <col min="18" max="19" width="5.5546875" style="9" bestFit="1" customWidth="1"/>
    <col min="20" max="20" width="5.88671875" style="9" bestFit="1" customWidth="1"/>
    <col min="21" max="21" width="13.6640625" style="9" bestFit="1" customWidth="1"/>
    <col min="22" max="16384" width="8.88671875" style="9"/>
  </cols>
  <sheetData>
    <row r="1" spans="1:30" ht="11.25" customHeight="1" x14ac:dyDescent="0.3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81" t="s">
        <v>38</v>
      </c>
      <c r="B2" s="81" t="s">
        <v>67</v>
      </c>
      <c r="C2" s="81" t="s">
        <v>25</v>
      </c>
      <c r="D2" s="81" t="s">
        <v>25</v>
      </c>
      <c r="E2" s="81" t="s">
        <v>25</v>
      </c>
      <c r="F2" s="81" t="s">
        <v>25</v>
      </c>
      <c r="G2" s="13" t="s">
        <v>69</v>
      </c>
      <c r="H2" s="13" t="s">
        <v>68</v>
      </c>
      <c r="I2" s="13">
        <f>SUMIF(Mercado_Receita!$T$2:$T$300,"44440A4Energia horáriaNão se aplicaNão se aplicaNão se aplicaNão se aplicaPonta",Mercado_Receita!$N$2:$N$300)</f>
        <v>22.057000000000002</v>
      </c>
      <c r="J2" s="13">
        <f>SUMIF(Mercado_Receita!$T$2:$T$300,"44470A4Energia horáriaNão se aplicaNão se aplicaNão se aplicaNão se aplicaPonta",Mercado_Receita!$N$2:$N$300)</f>
        <v>21.013999999999999</v>
      </c>
      <c r="K2" s="13">
        <f>SUMIF(Mercado_Receita!$T$2:$T$300,"44501A4Energia horáriaNão se aplicaNão se aplicaNão se aplicaNão se aplicaPonta",Mercado_Receita!$N$2:$N$300)</f>
        <v>20.535</v>
      </c>
      <c r="L2" s="13">
        <f>SUMIF(Mercado_Receita!$T$2:$T$300,"44531A4Energia horáriaNão se aplicaNão se aplicaNão se aplicaNão se aplicaPonta",Mercado_Receita!$N$2:$N$300)</f>
        <v>23.757999999999999</v>
      </c>
      <c r="M2" s="13">
        <f>SUMIF(Mercado_Receita!$T$2:$T$300,"44562A4Energia horáriaNão se aplicaNão se aplicaNão se aplicaNão se aplicaPonta",Mercado_Receita!$N$2:$N$300)</f>
        <v>20.646000000000001</v>
      </c>
      <c r="N2" s="13">
        <f>SUMIF(Mercado_Receita!$T$2:$T$300,"44593A4Energia horáriaNão se aplicaNão se aplicaNão se aplicaNão se aplicaPonta",Mercado_Receita!$N$2:$N$300)</f>
        <v>19.431000000000001</v>
      </c>
      <c r="O2" s="13">
        <f>SUMIF(Mercado_Receita!$T$2:$T$300,"44621A4Energia horáriaNão se aplicaNão se aplicaNão se aplicaNão se aplicaPonta",Mercado_Receita!$N$2:$N$300)</f>
        <v>21.632999999999999</v>
      </c>
      <c r="P2" s="13">
        <f>SUMIF(Mercado_Receita!$T$2:$T$300,"44652A4Energia horáriaNão se aplicaNão se aplicaNão se aplicaNão se aplicaPonta",Mercado_Receita!$N$2:$N$300)</f>
        <v>19.184000000000001</v>
      </c>
      <c r="Q2" s="13">
        <f>SUMIF(Mercado_Receita!$T$2:$T$300,"44682A4Energia horáriaNão se aplicaNão se aplicaNão se aplicaNão se aplicaPonta",Mercado_Receita!$N$2:$N$300)</f>
        <v>21.859000000000002</v>
      </c>
      <c r="R2" s="13">
        <f>SUMIF(Mercado_Receita!$T$2:$T$300,"44713A4Energia horáriaNão se aplicaNão se aplicaNão se aplicaNão se aplicaPonta",Mercado_Receita!$N$2:$N$300)</f>
        <v>22.341999999999999</v>
      </c>
      <c r="S2" s="13">
        <f>SUMIF(Mercado_Receita!$T$2:$T$300,"44743A4Energia horáriaNão se aplicaNão se aplicaNão se aplicaNão se aplicaPonta",Mercado_Receita!$N$2:$N$300)</f>
        <v>21.599</v>
      </c>
      <c r="T2" s="13">
        <f>SUMIF(Mercado_Receita!$T$2:$T$300,"44774A4Energia horáriaNão se aplicaNão se aplicaNão se aplicaNão se aplicaPonta",Mercado_Receita!$N$2:$N$300)</f>
        <v>23.631</v>
      </c>
      <c r="U2" s="13">
        <f t="shared" ref="U2:U39" si="0">SUM(I2:T2)</f>
        <v>257.68899999999996</v>
      </c>
      <c r="V2" s="13"/>
      <c r="W2" s="13"/>
    </row>
    <row r="3" spans="1:30" ht="11.25" customHeight="1" x14ac:dyDescent="0.3">
      <c r="A3" s="82"/>
      <c r="B3" s="82"/>
      <c r="C3" s="82"/>
      <c r="D3" s="82"/>
      <c r="E3" s="82"/>
      <c r="F3" s="82"/>
      <c r="G3" s="13" t="s">
        <v>70</v>
      </c>
      <c r="H3" s="13" t="s">
        <v>68</v>
      </c>
      <c r="I3" s="13">
        <f>SUMIF(Mercado_Receita!$T$2:$T$300,"44440A4Energia horáriaNão se aplicaNão se aplicaNão se aplicaNão se aplicaFora ponta",Mercado_Receita!$N$2:$N$300)</f>
        <v>232.67999999999998</v>
      </c>
      <c r="J3" s="13">
        <f>SUMIF(Mercado_Receita!$T$2:$T$300,"44470A4Energia horáriaNão se aplicaNão se aplicaNão se aplicaNão se aplicaFora ponta",Mercado_Receita!$N$2:$N$300)</f>
        <v>244.464</v>
      </c>
      <c r="K3" s="13">
        <f>SUMIF(Mercado_Receita!$T$2:$T$300,"44501A4Energia horáriaNão se aplicaNão se aplicaNão se aplicaNão se aplicaFora ponta",Mercado_Receita!$N$2:$N$300)</f>
        <v>235.071</v>
      </c>
      <c r="L3" s="13">
        <f>SUMIF(Mercado_Receita!$T$2:$T$300,"44531A4Energia horáriaNão se aplicaNão se aplicaNão se aplicaNão se aplicaFora ponta",Mercado_Receita!$N$2:$N$300)</f>
        <v>238.911</v>
      </c>
      <c r="M3" s="13">
        <f>SUMIF(Mercado_Receita!$T$2:$T$300,"44562A4Energia horáriaNão se aplicaNão se aplicaNão se aplicaNão se aplicaFora ponta",Mercado_Receita!$N$2:$N$300)</f>
        <v>221.411</v>
      </c>
      <c r="N3" s="13">
        <f>SUMIF(Mercado_Receita!$T$2:$T$300,"44593A4Energia horáriaNão se aplicaNão se aplicaNão se aplicaNão se aplicaFora ponta",Mercado_Receita!$N$2:$N$300)</f>
        <v>213.91399999999999</v>
      </c>
      <c r="O3" s="13">
        <f>SUMIF(Mercado_Receita!$T$2:$T$300,"44621A4Energia horáriaNão se aplicaNão se aplicaNão se aplicaNão se aplicaFora ponta",Mercado_Receita!$N$2:$N$300)</f>
        <v>211.34900000000002</v>
      </c>
      <c r="P3" s="13">
        <f>SUMIF(Mercado_Receita!$T$2:$T$300,"44652A4Energia horáriaNão se aplicaNão se aplicaNão se aplicaNão se aplicaFora ponta",Mercado_Receita!$N$2:$N$300)</f>
        <v>204.661</v>
      </c>
      <c r="Q3" s="13">
        <f>SUMIF(Mercado_Receita!$T$2:$T$300,"44682A4Energia horáriaNão se aplicaNão se aplicaNão se aplicaNão se aplicaFora ponta",Mercado_Receita!$N$2:$N$300)</f>
        <v>228.36199999999999</v>
      </c>
      <c r="R3" s="13">
        <f>SUMIF(Mercado_Receita!$T$2:$T$300,"44713A4Energia horáriaNão se aplicaNão se aplicaNão se aplicaNão se aplicaFora ponta",Mercado_Receita!$N$2:$N$300)</f>
        <v>219.31800000000001</v>
      </c>
      <c r="S3" s="13">
        <f>SUMIF(Mercado_Receita!$T$2:$T$300,"44743A4Energia horáriaNão se aplicaNão se aplicaNão se aplicaNão se aplicaFora ponta",Mercado_Receita!$N$2:$N$300)</f>
        <v>234.816</v>
      </c>
      <c r="T3" s="13">
        <f>SUMIF(Mercado_Receita!$T$2:$T$300,"44774A4Energia horáriaNão se aplicaNão se aplicaNão se aplicaNão se aplicaFora ponta",Mercado_Receita!$N$2:$N$300)</f>
        <v>235.07100000000003</v>
      </c>
      <c r="U3" s="13">
        <f t="shared" si="0"/>
        <v>2720.0279999999998</v>
      </c>
      <c r="V3" s="13"/>
      <c r="W3" s="13"/>
    </row>
    <row r="4" spans="1:30" ht="11.25" customHeight="1" x14ac:dyDescent="0.3">
      <c r="A4" s="82"/>
      <c r="B4" s="12" t="s">
        <v>71</v>
      </c>
      <c r="C4" s="12" t="s">
        <v>25</v>
      </c>
      <c r="D4" s="12" t="s">
        <v>25</v>
      </c>
      <c r="E4" s="12" t="s">
        <v>25</v>
      </c>
      <c r="F4" s="12" t="s">
        <v>25</v>
      </c>
      <c r="G4" s="13" t="s">
        <v>72</v>
      </c>
      <c r="H4" s="13" t="s">
        <v>68</v>
      </c>
      <c r="I4" s="13">
        <f>SUMIF(Mercado_Receita!$T$2:$T$300,"44440A4Energia convencionalNão se aplicaNão se aplicaNão se aplicaNão se aplicaNão se aplica",Mercado_Receita!$N$2:$N$300)</f>
        <v>0</v>
      </c>
      <c r="J4" s="13">
        <f>SUMIF(Mercado_Receita!$T$2:$T$300,"44470A4Energia convencionalNão se aplicaNão se aplicaNão se aplicaNão se aplicaNão se aplica",Mercado_Receita!$N$2:$N$300)</f>
        <v>0</v>
      </c>
      <c r="K4" s="13">
        <f>SUMIF(Mercado_Receita!$T$2:$T$300,"44501A4Energia convencionalNão se aplicaNão se aplicaNão se aplicaNão se aplicaNão se aplica",Mercado_Receita!$N$2:$N$300)</f>
        <v>0</v>
      </c>
      <c r="L4" s="13">
        <f>SUMIF(Mercado_Receita!$T$2:$T$300,"44531A4Energia convencionalNão se aplicaNão se aplicaNão se aplicaNão se aplicaNão se aplica",Mercado_Receita!$N$2:$N$300)</f>
        <v>0</v>
      </c>
      <c r="M4" s="13">
        <f>SUMIF(Mercado_Receita!$T$2:$T$300,"44562A4Energia convencionalNão se aplicaNão se aplicaNão se aplicaNão se aplicaNão se aplica",Mercado_Receita!$N$2:$N$300)</f>
        <v>0</v>
      </c>
      <c r="N4" s="13">
        <f>SUMIF(Mercado_Receita!$T$2:$T$300,"44593A4Energia convencionalNão se aplicaNão se aplicaNão se aplicaNão se aplicaNão se aplica",Mercado_Receita!$N$2:$N$300)</f>
        <v>0</v>
      </c>
      <c r="O4" s="13">
        <f>SUMIF(Mercado_Receita!$T$2:$T$300,"44621A4Energia convencionalNão se aplicaNão se aplicaNão se aplicaNão se aplicaNão se aplica",Mercado_Receita!$N$2:$N$300)</f>
        <v>0</v>
      </c>
      <c r="P4" s="13">
        <f>SUMIF(Mercado_Receita!$T$2:$T$300,"44652A4Energia convencionalNão se aplicaNão se aplicaNão se aplicaNão se aplicaNão se aplica",Mercado_Receita!$N$2:$N$300)</f>
        <v>0</v>
      </c>
      <c r="Q4" s="13">
        <f>SUMIF(Mercado_Receita!$T$2:$T$300,"44682A4Energia convencionalNão se aplicaNão se aplicaNão se aplicaNão se aplicaNão se aplica",Mercado_Receita!$N$2:$N$300)</f>
        <v>0</v>
      </c>
      <c r="R4" s="13">
        <f>SUMIF(Mercado_Receita!$T$2:$T$300,"44713A4Energia convencionalNão se aplicaNão se aplicaNão se aplicaNão se aplicaNão se aplica",Mercado_Receita!$N$2:$N$300)</f>
        <v>0</v>
      </c>
      <c r="S4" s="13">
        <f>SUMIF(Mercado_Receita!$T$2:$T$300,"44743A4Energia convencionalNão se aplicaNão se aplicaNão se aplicaNão se aplicaNão se aplica",Mercado_Receita!$N$2:$N$300)</f>
        <v>0</v>
      </c>
      <c r="T4" s="13">
        <f>SUMIF(Mercado_Receita!$T$2:$T$300,"44774A4Energia convencionalNão se aplicaNão se aplicaNão se aplicaNão se aplicaNão se aplica",Mercado_Receita!$N$2:$N$300)</f>
        <v>0</v>
      </c>
      <c r="U4" s="13">
        <f t="shared" si="0"/>
        <v>0</v>
      </c>
      <c r="V4" s="13"/>
      <c r="W4" s="13"/>
    </row>
    <row r="5" spans="1:30" ht="11.25" customHeight="1" x14ac:dyDescent="0.3">
      <c r="A5" s="81" t="s">
        <v>22</v>
      </c>
      <c r="B5" s="81" t="s">
        <v>67</v>
      </c>
      <c r="C5" s="81" t="s">
        <v>24</v>
      </c>
      <c r="D5" s="81" t="s">
        <v>24</v>
      </c>
      <c r="E5" s="81" t="s">
        <v>25</v>
      </c>
      <c r="F5" s="81" t="s">
        <v>25</v>
      </c>
      <c r="G5" s="13" t="s">
        <v>69</v>
      </c>
      <c r="H5" s="13" t="s">
        <v>68</v>
      </c>
      <c r="I5" s="13">
        <f>SUMIF(Mercado_Receita!$T$2:$T$300,"44440B1Energia horáriaResidencialResidencialNão se aplicaNão se aplicaPonta",Mercado_Receita!$N$2:$N$300)</f>
        <v>0</v>
      </c>
      <c r="J5" s="13">
        <f>SUMIF(Mercado_Receita!$T$2:$T$300,"44470B1Energia horáriaResidencialResidencialNão se aplicaNão se aplicaPonta",Mercado_Receita!$N$2:$N$300)</f>
        <v>0</v>
      </c>
      <c r="K5" s="13">
        <f>SUMIF(Mercado_Receita!$T$2:$T$300,"44501B1Energia horáriaResidencialResidencialNão se aplicaNão se aplicaPonta",Mercado_Receita!$N$2:$N$300)</f>
        <v>0</v>
      </c>
      <c r="L5" s="13">
        <f>SUMIF(Mercado_Receita!$T$2:$T$300,"44531B1Energia horáriaResidencialResidencialNão se aplicaNão se aplicaPonta",Mercado_Receita!$N$2:$N$300)</f>
        <v>0</v>
      </c>
      <c r="M5" s="13">
        <f>SUMIF(Mercado_Receita!$T$2:$T$300,"44562B1Energia horáriaResidencialResidencialNão se aplicaNão se aplicaPonta",Mercado_Receita!$N$2:$N$300)</f>
        <v>0</v>
      </c>
      <c r="N5" s="13">
        <f>SUMIF(Mercado_Receita!$T$2:$T$300,"44593B1Energia horáriaResidencialResidencialNão se aplicaNão se aplicaPonta",Mercado_Receita!$N$2:$N$300)</f>
        <v>0</v>
      </c>
      <c r="O5" s="13">
        <f>SUMIF(Mercado_Receita!$T$2:$T$300,"44621B1Energia horáriaResidencialResidencialNão se aplicaNão se aplicaPonta",Mercado_Receita!$N$2:$N$300)</f>
        <v>0</v>
      </c>
      <c r="P5" s="13">
        <f>SUMIF(Mercado_Receita!$T$2:$T$300,"44652B1Energia horáriaResidencialResidencialNão se aplicaNão se aplicaPonta",Mercado_Receita!$N$2:$N$300)</f>
        <v>0</v>
      </c>
      <c r="Q5" s="13">
        <f>SUMIF(Mercado_Receita!$T$2:$T$300,"44682B1Energia horáriaResidencialResidencialNão se aplicaNão se aplicaPonta",Mercado_Receita!$N$2:$N$300)</f>
        <v>0</v>
      </c>
      <c r="R5" s="13">
        <f>SUMIF(Mercado_Receita!$T$2:$T$300,"44713B1Energia horáriaResidencialResidencialNão se aplicaNão se aplicaPonta",Mercado_Receita!$N$2:$N$300)</f>
        <v>0</v>
      </c>
      <c r="S5" s="13">
        <f>SUMIF(Mercado_Receita!$T$2:$T$300,"44743B1Energia horáriaResidencialResidencialNão se aplicaNão se aplicaPonta",Mercado_Receita!$N$2:$N$300)</f>
        <v>0</v>
      </c>
      <c r="T5" s="13">
        <f>SUMIF(Mercado_Receita!$T$2:$T$300,"44774B1Energia horáriaResidencialResidencialNão se aplicaNão se aplicaPonta",Mercado_Receita!$N$2:$N$300)</f>
        <v>0</v>
      </c>
      <c r="U5" s="13">
        <f t="shared" si="0"/>
        <v>0</v>
      </c>
      <c r="V5" s="13"/>
      <c r="W5" s="13"/>
    </row>
    <row r="6" spans="1:30" ht="11.25" customHeight="1" x14ac:dyDescent="0.3">
      <c r="A6" s="82"/>
      <c r="B6" s="82"/>
      <c r="C6" s="82"/>
      <c r="D6" s="82"/>
      <c r="E6" s="82"/>
      <c r="F6" s="82"/>
      <c r="G6" s="13" t="s">
        <v>82</v>
      </c>
      <c r="H6" s="13" t="s">
        <v>68</v>
      </c>
      <c r="I6" s="13">
        <f>SUMIF(Mercado_Receita!$T$2:$T$300,"44440B1Energia horáriaResidencialResidencialNão se aplicaNão se aplicaIntermediário",Mercado_Receita!$N$2:$N$300)</f>
        <v>1.7999999999999999E-2</v>
      </c>
      <c r="J6" s="13">
        <f>SUMIF(Mercado_Receita!$T$2:$T$300,"44470B1Energia horáriaResidencialResidencialNão se aplicaNão se aplicaIntermediário",Mercado_Receita!$N$2:$N$300)</f>
        <v>1.9E-2</v>
      </c>
      <c r="K6" s="13">
        <f>SUMIF(Mercado_Receita!$T$2:$T$300,"44501B1Energia horáriaResidencialResidencialNão se aplicaNão se aplicaIntermediário",Mercado_Receita!$N$2:$N$300)</f>
        <v>1.2999999999999999E-2</v>
      </c>
      <c r="L6" s="13">
        <f>SUMIF(Mercado_Receita!$T$2:$T$300,"44531B1Energia horáriaResidencialResidencialNão se aplicaNão se aplicaIntermediário",Mercado_Receita!$N$2:$N$300)</f>
        <v>7.0000000000000001E-3</v>
      </c>
      <c r="M6" s="13">
        <f>SUMIF(Mercado_Receita!$T$2:$T$300,"44562B1Energia horáriaResidencialResidencialNão se aplicaNão se aplicaIntermediário",Mercado_Receita!$N$2:$N$300)</f>
        <v>0.03</v>
      </c>
      <c r="N6" s="13">
        <f>SUMIF(Mercado_Receita!$T$2:$T$300,"44593B1Energia horáriaResidencialResidencialNão se aplicaNão se aplicaIntermediário",Mercado_Receita!$N$2:$N$300)</f>
        <v>1.2E-2</v>
      </c>
      <c r="O6" s="13">
        <f>SUMIF(Mercado_Receita!$T$2:$T$300,"44621B1Energia horáriaResidencialResidencialNão se aplicaNão se aplicaIntermediário",Mercado_Receita!$N$2:$N$300)</f>
        <v>2.8000000000000001E-2</v>
      </c>
      <c r="P6" s="13">
        <f>SUMIF(Mercado_Receita!$T$2:$T$300,"44652B1Energia horáriaResidencialResidencialNão se aplicaNão se aplicaIntermediário",Mercado_Receita!$N$2:$N$300)</f>
        <v>1.9E-2</v>
      </c>
      <c r="Q6" s="13">
        <f>SUMIF(Mercado_Receita!$T$2:$T$300,"44682B1Energia horáriaResidencialResidencialNão se aplicaNão se aplicaIntermediário",Mercado_Receita!$N$2:$N$300)</f>
        <v>1.2E-2</v>
      </c>
      <c r="R6" s="13">
        <f>SUMIF(Mercado_Receita!$T$2:$T$300,"44713B1Energia horáriaResidencialResidencialNão se aplicaNão se aplicaIntermediário",Mercado_Receita!$N$2:$N$300)</f>
        <v>1.2E-2</v>
      </c>
      <c r="S6" s="13">
        <f>SUMIF(Mercado_Receita!$T$2:$T$300,"44743B1Energia horáriaResidencialResidencialNão se aplicaNão se aplicaIntermediário",Mercado_Receita!$N$2:$N$300)</f>
        <v>1.2999999999999999E-2</v>
      </c>
      <c r="T6" s="13">
        <f>SUMIF(Mercado_Receita!$T$2:$T$300,"44774B1Energia horáriaResidencialResidencialNão se aplicaNão se aplicaIntermediário",Mercado_Receita!$N$2:$N$300)</f>
        <v>1.2E-2</v>
      </c>
      <c r="U6" s="13">
        <f t="shared" si="0"/>
        <v>0.19500000000000003</v>
      </c>
      <c r="V6" s="13"/>
      <c r="W6" s="13"/>
    </row>
    <row r="7" spans="1:30" ht="11.25" customHeight="1" x14ac:dyDescent="0.3">
      <c r="A7" s="82"/>
      <c r="B7" s="82"/>
      <c r="C7" s="82"/>
      <c r="D7" s="82"/>
      <c r="E7" s="82"/>
      <c r="F7" s="82"/>
      <c r="G7" s="13" t="s">
        <v>70</v>
      </c>
      <c r="H7" s="13" t="s">
        <v>68</v>
      </c>
      <c r="I7" s="13">
        <f>SUMIF(Mercado_Receita!$T$2:$T$300,"44440B1Energia horáriaResidencialResidencialNão se aplicaNão se aplicaFora ponta",Mercado_Receita!$N$2:$N$300)</f>
        <v>3.6999999999999998E-2</v>
      </c>
      <c r="J7" s="13">
        <f>SUMIF(Mercado_Receita!$T$2:$T$300,"44470B1Energia horáriaResidencialResidencialNão se aplicaNão se aplicaFora ponta",Mercado_Receita!$N$2:$N$300)</f>
        <v>3.5000000000000003E-2</v>
      </c>
      <c r="K7" s="13">
        <f>SUMIF(Mercado_Receita!$T$2:$T$300,"44501B1Energia horáriaResidencialResidencialNão se aplicaNão se aplicaFora ponta",Mercado_Receita!$N$2:$N$300)</f>
        <v>0.04</v>
      </c>
      <c r="L7" s="13">
        <f>SUMIF(Mercado_Receita!$T$2:$T$300,"44531B1Energia horáriaResidencialResidencialNão se aplicaNão se aplicaFora ponta",Mercado_Receita!$N$2:$N$300)</f>
        <v>0.06</v>
      </c>
      <c r="M7" s="13">
        <f>SUMIF(Mercado_Receita!$T$2:$T$300,"44562B1Energia horáriaResidencialResidencialNão se aplicaNão se aplicaFora ponta",Mercado_Receita!$N$2:$N$300)</f>
        <v>3.1E-2</v>
      </c>
      <c r="N7" s="13">
        <f>SUMIF(Mercado_Receita!$T$2:$T$300,"44593B1Energia horáriaResidencialResidencialNão se aplicaNão se aplicaFora ponta",Mercado_Receita!$N$2:$N$300)</f>
        <v>3.7999999999999999E-2</v>
      </c>
      <c r="O7" s="13">
        <f>SUMIF(Mercado_Receita!$T$2:$T$300,"44621B1Energia horáriaResidencialResidencialNão se aplicaNão se aplicaFora ponta",Mercado_Receita!$N$2:$N$300)</f>
        <v>6.2E-2</v>
      </c>
      <c r="P7" s="13">
        <f>SUMIF(Mercado_Receita!$T$2:$T$300,"44652B1Energia horáriaResidencialResidencialNão se aplicaNão se aplicaFora ponta",Mercado_Receita!$N$2:$N$300)</f>
        <v>4.1000000000000002E-2</v>
      </c>
      <c r="Q7" s="13">
        <f>SUMIF(Mercado_Receita!$T$2:$T$300,"44682B1Energia horáriaResidencialResidencialNão se aplicaNão se aplicaFora ponta",Mercado_Receita!$N$2:$N$300)</f>
        <v>4.2000000000000003E-2</v>
      </c>
      <c r="R7" s="13">
        <f>SUMIF(Mercado_Receita!$T$2:$T$300,"44713B1Energia horáriaResidencialResidencialNão se aplicaNão se aplicaFora ponta",Mercado_Receita!$N$2:$N$300)</f>
        <v>4.2000000000000003E-2</v>
      </c>
      <c r="S7" s="13">
        <f>SUMIF(Mercado_Receita!$T$2:$T$300,"44743B1Energia horáriaResidencialResidencialNão se aplicaNão se aplicaFora ponta",Mercado_Receita!$N$2:$N$300)</f>
        <v>4.1000000000000002E-2</v>
      </c>
      <c r="T7" s="13">
        <f>SUMIF(Mercado_Receita!$T$2:$T$300,"44774B1Energia horáriaResidencialResidencialNão se aplicaNão se aplicaFora ponta",Mercado_Receita!$N$2:$N$300)</f>
        <v>4.2000000000000003E-2</v>
      </c>
      <c r="U7" s="13">
        <f t="shared" si="0"/>
        <v>0.51100000000000001</v>
      </c>
      <c r="V7" s="13"/>
      <c r="W7" s="13"/>
    </row>
    <row r="8" spans="1:30" ht="11.25" customHeight="1" x14ac:dyDescent="0.3">
      <c r="A8" s="82"/>
      <c r="B8" s="81" t="s">
        <v>71</v>
      </c>
      <c r="C8" s="81" t="s">
        <v>24</v>
      </c>
      <c r="D8" s="12" t="s">
        <v>24</v>
      </c>
      <c r="E8" s="12" t="s">
        <v>25</v>
      </c>
      <c r="F8" s="12" t="s">
        <v>25</v>
      </c>
      <c r="G8" s="13" t="s">
        <v>72</v>
      </c>
      <c r="H8" s="13" t="s">
        <v>68</v>
      </c>
      <c r="I8" s="13">
        <f>SUMIF(Mercado_Receita!$T$2:$T$300,"44440B1Energia convencionalResidencialResidencialNão se aplicaNão se aplicaNão se aplica",Mercado_Receita!$N$2:$N$300)</f>
        <v>425.66299999999995</v>
      </c>
      <c r="J8" s="13">
        <f>SUMIF(Mercado_Receita!$T$2:$T$300,"44470B1Energia convencionalResidencialResidencialNão se aplicaNão se aplicaNão se aplica",Mercado_Receita!$N$2:$N$300)</f>
        <v>409.95499999999998</v>
      </c>
      <c r="K8" s="13">
        <f>SUMIF(Mercado_Receita!$T$2:$T$300,"44501B1Energia convencionalResidencialResidencialNão se aplicaNão se aplicaNão se aplica",Mercado_Receita!$N$2:$N$300)</f>
        <v>431.69100000000003</v>
      </c>
      <c r="L8" s="13">
        <f>SUMIF(Mercado_Receita!$T$2:$T$300,"44531B1Energia convencionalResidencialResidencialNão se aplicaNão se aplicaNão se aplica",Mercado_Receita!$N$2:$N$300)</f>
        <v>446.12899999999996</v>
      </c>
      <c r="M8" s="13">
        <f>SUMIF(Mercado_Receita!$T$2:$T$300,"44562B1Energia convencionalResidencialResidencialNão se aplicaNão se aplicaNão se aplica",Mercado_Receita!$N$2:$N$300)</f>
        <v>544.65200000000004</v>
      </c>
      <c r="N8" s="13">
        <f>SUMIF(Mercado_Receita!$T$2:$T$300,"44593B1Energia convencionalResidencialResidencialNão se aplicaNão se aplicaNão se aplica",Mercado_Receita!$N$2:$N$300)</f>
        <v>468.13499999999999</v>
      </c>
      <c r="O8" s="13">
        <f>SUMIF(Mercado_Receita!$T$2:$T$300,"44621B1Energia convencionalResidencialResidencialNão se aplicaNão se aplicaNão se aplica",Mercado_Receita!$N$2:$N$300)</f>
        <v>501.85</v>
      </c>
      <c r="P8" s="13">
        <f>SUMIF(Mercado_Receita!$T$2:$T$300,"44652B1Energia convencionalResidencialResidencialNão se aplicaNão se aplicaNão se aplica",Mercado_Receita!$N$2:$N$300)</f>
        <v>458.55200000000002</v>
      </c>
      <c r="Q8" s="13">
        <f>SUMIF(Mercado_Receita!$T$2:$T$300,"44682B1Energia convencionalResidencialResidencialNão se aplicaNão se aplicaNão se aplica",Mercado_Receita!$N$2:$N$300)</f>
        <v>417.92</v>
      </c>
      <c r="R8" s="13">
        <f>SUMIF(Mercado_Receita!$T$2:$T$300,"44713B1Energia convencionalResidencialResidencialNão se aplicaNão se aplicaNão se aplica",Mercado_Receita!$N$2:$N$300)</f>
        <v>377.54900000000004</v>
      </c>
      <c r="S8" s="13">
        <f>SUMIF(Mercado_Receita!$T$2:$T$300,"44743B1Energia convencionalResidencialResidencialNão se aplicaNão se aplicaNão se aplica",Mercado_Receita!$N$2:$N$300)</f>
        <v>395.74</v>
      </c>
      <c r="T8" s="13">
        <f>SUMIF(Mercado_Receita!$T$2:$T$300,"44774B1Energia convencionalResidencialResidencialNão se aplicaNão se aplicaNão se aplica",Mercado_Receita!$N$2:$N$300)</f>
        <v>406.82900000000001</v>
      </c>
      <c r="U8" s="13">
        <f t="shared" si="0"/>
        <v>5284.665</v>
      </c>
      <c r="V8" s="13"/>
      <c r="W8" s="13"/>
    </row>
    <row r="9" spans="1:30" ht="11.25" customHeight="1" x14ac:dyDescent="0.3">
      <c r="A9" s="82"/>
      <c r="B9" s="82"/>
      <c r="C9" s="82"/>
      <c r="D9" s="12" t="s">
        <v>29</v>
      </c>
      <c r="E9" s="12" t="s">
        <v>25</v>
      </c>
      <c r="F9" s="12" t="s">
        <v>25</v>
      </c>
      <c r="G9" s="13" t="s">
        <v>72</v>
      </c>
      <c r="H9" s="13" t="s">
        <v>68</v>
      </c>
      <c r="I9" s="13">
        <f>SUMIF(Mercado_Receita!$T$2:$T$300,"44440B1Energia convencionalResidencialResidencial baixa renda – faixa 01Não se aplicaNão se aplicaNão se aplica",Mercado_Receita!$N$2:$N$300)</f>
        <v>3.63</v>
      </c>
      <c r="J9" s="13">
        <f>SUMIF(Mercado_Receita!$T$2:$T$300,"44470B1Energia convencionalResidencialResidencial baixa renda – faixa 01Não se aplicaNão se aplicaNão se aplica",Mercado_Receita!$N$2:$N$300)</f>
        <v>3.63</v>
      </c>
      <c r="K9" s="13">
        <f>SUMIF(Mercado_Receita!$T$2:$T$300,"44501B1Energia convencionalResidencialResidencial baixa renda – faixa 01Não se aplicaNão se aplicaNão se aplica",Mercado_Receita!$N$2:$N$300)</f>
        <v>3.6</v>
      </c>
      <c r="L9" s="13">
        <f>SUMIF(Mercado_Receita!$T$2:$T$300,"44531B1Energia convencionalResidencialResidencial baixa renda – faixa 01Não se aplicaNão se aplicaNão se aplica",Mercado_Receita!$N$2:$N$300)</f>
        <v>3.66</v>
      </c>
      <c r="M9" s="13">
        <f>SUMIF(Mercado_Receita!$T$2:$T$300,"44562B1Energia convencionalResidencialResidencial baixa renda – faixa 01Não se aplicaNão se aplicaNão se aplica",Mercado_Receita!$N$2:$N$300)</f>
        <v>3.6</v>
      </c>
      <c r="N9" s="13">
        <f>SUMIF(Mercado_Receita!$T$2:$T$300,"44593B1Energia convencionalResidencialResidencial baixa renda – faixa 01Não se aplicaNão se aplicaNão se aplica",Mercado_Receita!$N$2:$N$300)</f>
        <v>3.72</v>
      </c>
      <c r="O9" s="13">
        <f>SUMIF(Mercado_Receita!$T$2:$T$300,"44621B1Energia convencionalResidencialResidencial baixa renda – faixa 01Não se aplicaNão se aplicaNão se aplica",Mercado_Receita!$N$2:$N$300)</f>
        <v>3.74</v>
      </c>
      <c r="P9" s="13">
        <f>SUMIF(Mercado_Receita!$T$2:$T$300,"44652B1Energia convencionalResidencialResidencial baixa renda – faixa 01Não se aplicaNão se aplicaNão se aplica",Mercado_Receita!$N$2:$N$300)</f>
        <v>3.84</v>
      </c>
      <c r="Q9" s="13">
        <f>SUMIF(Mercado_Receita!$T$2:$T$300,"44682B1Energia convencionalResidencialResidencial baixa renda – faixa 01Não se aplicaNão se aplicaNão se aplica",Mercado_Receita!$N$2:$N$300)</f>
        <v>3.93</v>
      </c>
      <c r="R9" s="13">
        <f>SUMIF(Mercado_Receita!$T$2:$T$300,"44713B1Energia convencionalResidencialResidencial baixa renda – faixa 01Não se aplicaNão se aplicaNão se aplica",Mercado_Receita!$N$2:$N$300)</f>
        <v>7.5</v>
      </c>
      <c r="S9" s="13">
        <f>SUMIF(Mercado_Receita!$T$2:$T$300,"44743B1Energia convencionalResidencialResidencial baixa renda – faixa 01Não se aplicaNão se aplicaNão se aplica",Mercado_Receita!$N$2:$N$300)</f>
        <v>7.4160000000000004</v>
      </c>
      <c r="T9" s="13">
        <f>SUMIF(Mercado_Receita!$T$2:$T$300,"44774B1Energia convencionalResidencialResidencial baixa renda – faixa 01Não se aplicaNão se aplicaNão se aplica",Mercado_Receita!$N$2:$N$300)</f>
        <v>5.55</v>
      </c>
      <c r="U9" s="13">
        <f t="shared" si="0"/>
        <v>53.816000000000003</v>
      </c>
      <c r="V9" s="13"/>
      <c r="W9" s="13"/>
    </row>
    <row r="10" spans="1:30" ht="11.25" customHeight="1" x14ac:dyDescent="0.3">
      <c r="A10" s="82"/>
      <c r="B10" s="82"/>
      <c r="C10" s="82"/>
      <c r="D10" s="12" t="s">
        <v>30</v>
      </c>
      <c r="E10" s="12" t="s">
        <v>25</v>
      </c>
      <c r="F10" s="12" t="s">
        <v>25</v>
      </c>
      <c r="G10" s="13" t="s">
        <v>72</v>
      </c>
      <c r="H10" s="13" t="s">
        <v>68</v>
      </c>
      <c r="I10" s="13">
        <f>SUMIF(Mercado_Receita!$T$2:$T$300,"44440B1Energia convencionalResidencialResidencial baixa renda – faixa 02Não se aplicaNão se aplicaNão se aplica",Mercado_Receita!$N$2:$N$300)</f>
        <v>7.7220000000000004</v>
      </c>
      <c r="J10" s="13">
        <f>SUMIF(Mercado_Receita!$T$2:$T$300,"44470B1Energia convencionalResidencialResidencial baixa renda – faixa 02Não se aplicaNão se aplicaNão se aplica",Mercado_Receita!$N$2:$N$300)</f>
        <v>7.4450000000000003</v>
      </c>
      <c r="K10" s="13">
        <f>SUMIF(Mercado_Receita!$T$2:$T$300,"44501B1Energia convencionalResidencialResidencial baixa renda – faixa 02Não se aplicaNão se aplicaNão se aplica",Mercado_Receita!$N$2:$N$300)</f>
        <v>7.48</v>
      </c>
      <c r="L10" s="13">
        <f>SUMIF(Mercado_Receita!$T$2:$T$300,"44531B1Energia convencionalResidencialResidencial baixa renda – faixa 02Não se aplicaNão se aplicaNão se aplica",Mercado_Receita!$N$2:$N$300)</f>
        <v>7.7610000000000001</v>
      </c>
      <c r="M10" s="13">
        <f>SUMIF(Mercado_Receita!$T$2:$T$300,"44562B1Energia convencionalResidencialResidencial baixa renda – faixa 02Não se aplicaNão se aplicaNão se aplica",Mercado_Receita!$N$2:$N$300)</f>
        <v>7.7949999999999999</v>
      </c>
      <c r="N10" s="13">
        <f>SUMIF(Mercado_Receita!$T$2:$T$300,"44593B1Energia convencionalResidencialResidencial baixa renda – faixa 02Não se aplicaNão se aplicaNão se aplica",Mercado_Receita!$N$2:$N$300)</f>
        <v>8.0180000000000007</v>
      </c>
      <c r="O10" s="13">
        <f>SUMIF(Mercado_Receita!$T$2:$T$300,"44621B1Energia convencionalResidencialResidencial baixa renda – faixa 02Não se aplicaNão se aplicaNão se aplica",Mercado_Receita!$N$2:$N$300)</f>
        <v>8.0980000000000008</v>
      </c>
      <c r="P10" s="13">
        <f>SUMIF(Mercado_Receita!$T$2:$T$300,"44652B1Energia convencionalResidencialResidencial baixa renda – faixa 02Não se aplicaNão se aplicaNão se aplica",Mercado_Receita!$N$2:$N$300)</f>
        <v>8.4</v>
      </c>
      <c r="Q10" s="13">
        <f>SUMIF(Mercado_Receita!$T$2:$T$300,"44682B1Energia convencionalResidencialResidencial baixa renda – faixa 02Não se aplicaNão se aplicaNão se aplica",Mercado_Receita!$N$2:$N$300)</f>
        <v>8.14</v>
      </c>
      <c r="R10" s="13">
        <f>SUMIF(Mercado_Receita!$T$2:$T$300,"44713B1Energia convencionalResidencialResidencial baixa renda – faixa 02Não se aplicaNão se aplicaNão se aplica",Mercado_Receita!$N$2:$N$300)</f>
        <v>13.033000000000001</v>
      </c>
      <c r="S10" s="13">
        <f>SUMIF(Mercado_Receita!$T$2:$T$300,"44743B1Energia convencionalResidencialResidencial baixa renda – faixa 02Não se aplicaNão se aplicaNão se aplica",Mercado_Receita!$N$2:$N$300)</f>
        <v>12.66</v>
      </c>
      <c r="T10" s="13">
        <f>SUMIF(Mercado_Receita!$T$2:$T$300,"44774B1Energia convencionalResidencialResidencial baixa renda – faixa 02Não se aplicaNão se aplicaNão se aplica",Mercado_Receita!$N$2:$N$300)</f>
        <v>10.305999999999999</v>
      </c>
      <c r="U10" s="13">
        <f t="shared" si="0"/>
        <v>106.858</v>
      </c>
      <c r="V10" s="13"/>
      <c r="W10" s="13"/>
    </row>
    <row r="11" spans="1:30" ht="11.25" customHeight="1" x14ac:dyDescent="0.3">
      <c r="A11" s="82"/>
      <c r="B11" s="82"/>
      <c r="C11" s="82"/>
      <c r="D11" s="12" t="s">
        <v>31</v>
      </c>
      <c r="E11" s="12" t="s">
        <v>25</v>
      </c>
      <c r="F11" s="12" t="s">
        <v>25</v>
      </c>
      <c r="G11" s="13" t="s">
        <v>72</v>
      </c>
      <c r="H11" s="13" t="s">
        <v>68</v>
      </c>
      <c r="I11" s="13">
        <f>SUMIF(Mercado_Receita!$T$2:$T$300,"44440B1Energia convencionalResidencialResidencial baixa renda – faixa 03Não se aplicaNão se aplicaNão se aplica",Mercado_Receita!$N$2:$N$300)</f>
        <v>7.3079999999999998</v>
      </c>
      <c r="J11" s="13">
        <f>SUMIF(Mercado_Receita!$T$2:$T$300,"44470B1Energia convencionalResidencialResidencial baixa renda – faixa 03Não se aplicaNão se aplicaNão se aplica",Mercado_Receita!$N$2:$N$300)</f>
        <v>5.2729999999999997</v>
      </c>
      <c r="K11" s="13">
        <f>SUMIF(Mercado_Receita!$T$2:$T$300,"44501B1Energia convencionalResidencialResidencial baixa renda – faixa 03Não se aplicaNão se aplicaNão se aplica",Mercado_Receita!$N$2:$N$300)</f>
        <v>5.4630000000000001</v>
      </c>
      <c r="L11" s="13">
        <f>SUMIF(Mercado_Receita!$T$2:$T$300,"44531B1Energia convencionalResidencialResidencial baixa renda – faixa 03Não se aplicaNão se aplicaNão se aplica",Mercado_Receita!$N$2:$N$300)</f>
        <v>6.6680000000000001</v>
      </c>
      <c r="M11" s="13">
        <f>SUMIF(Mercado_Receita!$T$2:$T$300,"44562B1Energia convencionalResidencialResidencial baixa renda – faixa 03Não se aplicaNão se aplicaNão se aplica",Mercado_Receita!$N$2:$N$300)</f>
        <v>7.4980000000000002</v>
      </c>
      <c r="N11" s="13">
        <f>SUMIF(Mercado_Receita!$T$2:$T$300,"44593B1Energia convencionalResidencialResidencial baixa renda – faixa 03Não se aplicaNão se aplicaNão se aplica",Mercado_Receita!$N$2:$N$300)</f>
        <v>7.2069999999999999</v>
      </c>
      <c r="O11" s="13">
        <f>SUMIF(Mercado_Receita!$T$2:$T$300,"44621B1Energia convencionalResidencialResidencial baixa renda – faixa 03Não se aplicaNão se aplicaNão se aplica",Mercado_Receita!$N$2:$N$300)</f>
        <v>7.8490000000000002</v>
      </c>
      <c r="P11" s="13">
        <f>SUMIF(Mercado_Receita!$T$2:$T$300,"44652B1Energia convencionalResidencialResidencial baixa renda – faixa 03Não se aplicaNão se aplicaNão se aplica",Mercado_Receita!$N$2:$N$300)</f>
        <v>7.9470000000000001</v>
      </c>
      <c r="Q11" s="13">
        <f>SUMIF(Mercado_Receita!$T$2:$T$300,"44682B1Energia convencionalResidencialResidencial baixa renda – faixa 03Não se aplicaNão se aplicaNão se aplica",Mercado_Receita!$N$2:$N$300)</f>
        <v>6.3929999999999998</v>
      </c>
      <c r="R11" s="13">
        <f>SUMIF(Mercado_Receita!$T$2:$T$300,"44713B1Energia convencionalResidencialResidencial baixa renda – faixa 03Não se aplicaNão se aplicaNão se aplica",Mercado_Receita!$N$2:$N$300)</f>
        <v>8.222999999999999</v>
      </c>
      <c r="S11" s="13">
        <f>SUMIF(Mercado_Receita!$T$2:$T$300,"44743B1Energia convencionalResidencialResidencial baixa renda – faixa 03Não se aplicaNão se aplicaNão se aplica",Mercado_Receita!$N$2:$N$300)</f>
        <v>7.3650000000000002</v>
      </c>
      <c r="T11" s="13">
        <f>SUMIF(Mercado_Receita!$T$2:$T$300,"44774B1Energia convencionalResidencialResidencial baixa renda – faixa 03Não se aplicaNão se aplicaNão se aplica",Mercado_Receita!$N$2:$N$300)</f>
        <v>7.2119999999999997</v>
      </c>
      <c r="U11" s="13">
        <f t="shared" si="0"/>
        <v>84.406000000000006</v>
      </c>
      <c r="V11" s="13"/>
      <c r="W11" s="13"/>
    </row>
    <row r="12" spans="1:30" ht="11.25" customHeight="1" x14ac:dyDescent="0.3">
      <c r="A12" s="82"/>
      <c r="B12" s="82"/>
      <c r="C12" s="82"/>
      <c r="D12" s="12" t="s">
        <v>32</v>
      </c>
      <c r="E12" s="12" t="s">
        <v>25</v>
      </c>
      <c r="F12" s="12" t="s">
        <v>25</v>
      </c>
      <c r="G12" s="13" t="s">
        <v>72</v>
      </c>
      <c r="H12" s="13" t="s">
        <v>68</v>
      </c>
      <c r="I12" s="13">
        <f>SUMIF(Mercado_Receita!$T$2:$T$300,"44440B1Energia convencionalResidencialResidencial baixa renda – faixa 04Não se aplicaNão se aplicaNão se aplica",Mercado_Receita!$N$2:$N$300)</f>
        <v>0.19500000000000001</v>
      </c>
      <c r="J12" s="13">
        <f>SUMIF(Mercado_Receita!$T$2:$T$300,"44470B1Energia convencionalResidencialResidencial baixa renda – faixa 04Não se aplicaNão se aplicaNão se aplica",Mercado_Receita!$N$2:$N$300)</f>
        <v>0.91399999999999992</v>
      </c>
      <c r="K12" s="13">
        <f>SUMIF(Mercado_Receita!$T$2:$T$300,"44501B1Energia convencionalResidencialResidencial baixa renda – faixa 04Não se aplicaNão se aplicaNão se aplica",Mercado_Receita!$N$2:$N$300)</f>
        <v>1.03</v>
      </c>
      <c r="L12" s="13">
        <f>SUMIF(Mercado_Receita!$T$2:$T$300,"44531B1Energia convencionalResidencialResidencial baixa renda – faixa 04Não se aplicaNão se aplicaNão se aplica",Mercado_Receita!$N$2:$N$300)</f>
        <v>1.5940000000000001</v>
      </c>
      <c r="M12" s="13">
        <f>SUMIF(Mercado_Receita!$T$2:$T$300,"44562B1Energia convencionalResidencialResidencial baixa renda – faixa 04Não se aplicaNão se aplicaNão se aplica",Mercado_Receita!$N$2:$N$300)</f>
        <v>2.44</v>
      </c>
      <c r="N12" s="13">
        <f>SUMIF(Mercado_Receita!$T$2:$T$300,"44593B1Energia convencionalResidencialResidencial baixa renda – faixa 04Não se aplicaNão se aplicaNão se aplica",Mercado_Receita!$N$2:$N$300)</f>
        <v>2.125</v>
      </c>
      <c r="O12" s="13">
        <f>SUMIF(Mercado_Receita!$T$2:$T$300,"44621B1Energia convencionalResidencialResidencial baixa renda – faixa 04Não se aplicaNão se aplicaNão se aplica",Mercado_Receita!$N$2:$N$300)</f>
        <v>2.6110000000000002</v>
      </c>
      <c r="P12" s="13">
        <f>SUMIF(Mercado_Receita!$T$2:$T$300,"44652B1Energia convencionalResidencialResidencial baixa renda – faixa 04Não se aplicaNão se aplicaNão se aplica",Mercado_Receita!$N$2:$N$300)</f>
        <v>2.0590000000000002</v>
      </c>
      <c r="Q12" s="13">
        <f>SUMIF(Mercado_Receita!$T$2:$T$300,"44682B1Energia convencionalResidencialResidencial baixa renda – faixa 04Não se aplicaNão se aplicaNão se aplica",Mercado_Receita!$N$2:$N$300)</f>
        <v>1.4379999999999999</v>
      </c>
      <c r="R12" s="13">
        <f>SUMIF(Mercado_Receita!$T$2:$T$300,"44713B1Energia convencionalResidencialResidencial baixa renda – faixa 04Não se aplicaNão se aplicaNão se aplica",Mercado_Receita!$N$2:$N$300)</f>
        <v>2.2229999999999999</v>
      </c>
      <c r="S12" s="13">
        <f>SUMIF(Mercado_Receita!$T$2:$T$300,"44743B1Energia convencionalResidencialResidencial baixa renda – faixa 04Não se aplicaNão se aplicaNão se aplica",Mercado_Receita!$N$2:$N$300)</f>
        <v>1.2589999999999999</v>
      </c>
      <c r="T12" s="13">
        <f>SUMIF(Mercado_Receita!$T$2:$T$300,"44774B1Energia convencionalResidencialResidencial baixa renda – faixa 04Não se aplicaNão se aplicaNão se aplica",Mercado_Receita!$N$2:$N$300)</f>
        <v>1.1619999999999999</v>
      </c>
      <c r="U12" s="13">
        <f t="shared" si="0"/>
        <v>19.05</v>
      </c>
      <c r="V12" s="13"/>
      <c r="W12" s="13"/>
    </row>
    <row r="13" spans="1:30" ht="11.25" customHeight="1" x14ac:dyDescent="0.3">
      <c r="A13" s="82"/>
      <c r="B13" s="81" t="s">
        <v>83</v>
      </c>
      <c r="C13" s="81" t="s">
        <v>24</v>
      </c>
      <c r="D13" s="12" t="s">
        <v>24</v>
      </c>
      <c r="E13" s="12" t="s">
        <v>25</v>
      </c>
      <c r="F13" s="12" t="s">
        <v>25</v>
      </c>
      <c r="G13" s="13" t="s">
        <v>72</v>
      </c>
      <c r="H13" s="13" t="s">
        <v>68</v>
      </c>
      <c r="I13" s="13">
        <f>SUMIF(Mercado_Receita!$T$2:$T$300,"44440B1Energia convencional pré-pagamentoResidencialResidencialNão se aplicaNão se aplicaNão se aplica",Mercado_Receita!$N$2:$N$300)</f>
        <v>0</v>
      </c>
      <c r="J13" s="13">
        <f>SUMIF(Mercado_Receita!$T$2:$T$300,"44470B1Energia convencional pré-pagamentoResidencialResidencialNão se aplicaNão se aplicaNão se aplica",Mercado_Receita!$N$2:$N$300)</f>
        <v>0</v>
      </c>
      <c r="K13" s="13">
        <f>SUMIF(Mercado_Receita!$T$2:$T$300,"44501B1Energia convencional pré-pagamentoResidencialResidencialNão se aplicaNão se aplicaNão se aplica",Mercado_Receita!$N$2:$N$300)</f>
        <v>0</v>
      </c>
      <c r="L13" s="13">
        <f>SUMIF(Mercado_Receita!$T$2:$T$300,"44531B1Energia convencional pré-pagamentoResidencialResidencialNão se aplicaNão se aplicaNão se aplica",Mercado_Receita!$N$2:$N$300)</f>
        <v>0</v>
      </c>
      <c r="M13" s="13">
        <f>SUMIF(Mercado_Receita!$T$2:$T$300,"44562B1Energia convencional pré-pagamentoResidencialResidencialNão se aplicaNão se aplicaNão se aplica",Mercado_Receita!$N$2:$N$300)</f>
        <v>0</v>
      </c>
      <c r="N13" s="13">
        <f>SUMIF(Mercado_Receita!$T$2:$T$300,"44593B1Energia convencional pré-pagamentoResidencialResidencialNão se aplicaNão se aplicaNão se aplica",Mercado_Receita!$N$2:$N$300)</f>
        <v>0</v>
      </c>
      <c r="O13" s="13">
        <f>SUMIF(Mercado_Receita!$T$2:$T$300,"44621B1Energia convencional pré-pagamentoResidencialResidencialNão se aplicaNão se aplicaNão se aplica",Mercado_Receita!$N$2:$N$300)</f>
        <v>0</v>
      </c>
      <c r="P13" s="13">
        <f>SUMIF(Mercado_Receita!$T$2:$T$300,"44652B1Energia convencional pré-pagamentoResidencialResidencialNão se aplicaNão se aplicaNão se aplica",Mercado_Receita!$N$2:$N$300)</f>
        <v>0</v>
      </c>
      <c r="Q13" s="13">
        <f>SUMIF(Mercado_Receita!$T$2:$T$300,"44682B1Energia convencional pré-pagamentoResidencialResidencialNão se aplicaNão se aplicaNão se aplica",Mercado_Receita!$N$2:$N$300)</f>
        <v>0</v>
      </c>
      <c r="R13" s="13">
        <f>SUMIF(Mercado_Receita!$T$2:$T$300,"44713B1Energia convencional pré-pagamentoResidencialResidencialNão se aplicaNão se aplicaNão se aplica",Mercado_Receita!$N$2:$N$300)</f>
        <v>0</v>
      </c>
      <c r="S13" s="13">
        <f>SUMIF(Mercado_Receita!$T$2:$T$300,"44743B1Energia convencional pré-pagamentoResidencialResidencialNão se aplicaNão se aplicaNão se aplica",Mercado_Receita!$N$2:$N$300)</f>
        <v>0</v>
      </c>
      <c r="T13" s="13">
        <f>SUMIF(Mercado_Receita!$T$2:$T$300,"44774B1Energia convencional pré-pagamentoResidencialResidencialNão se aplicaNão se aplicaNão se aplica",Mercado_Receita!$N$2:$N$300)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82"/>
      <c r="B14" s="82"/>
      <c r="C14" s="82"/>
      <c r="D14" s="12" t="s">
        <v>29</v>
      </c>
      <c r="E14" s="12" t="s">
        <v>25</v>
      </c>
      <c r="F14" s="12" t="s">
        <v>25</v>
      </c>
      <c r="G14" s="13" t="s">
        <v>72</v>
      </c>
      <c r="H14" s="13" t="s">
        <v>68</v>
      </c>
      <c r="I14" s="13">
        <f>SUMIF(Mercado_Receita!$T$2:$T$300,"44440B1Energia convencional pré-pagamentoResidencialResidencial baixa renda – faixa 01Não se aplicaNão se aplicaNão se aplica",Mercado_Receita!$N$2:$N$300)</f>
        <v>0</v>
      </c>
      <c r="J14" s="13">
        <f>SUMIF(Mercado_Receita!$T$2:$T$300,"44470B1Energia convencional pré-pagamentoResidencialResidencial baixa renda – faixa 01Não se aplicaNão se aplicaNão se aplica",Mercado_Receita!$N$2:$N$300)</f>
        <v>0</v>
      </c>
      <c r="K14" s="13">
        <f>SUMIF(Mercado_Receita!$T$2:$T$300,"44501B1Energia convencional pré-pagamentoResidencialResidencial baixa renda – faixa 01Não se aplicaNão se aplicaNão se aplica",Mercado_Receita!$N$2:$N$300)</f>
        <v>0</v>
      </c>
      <c r="L14" s="13">
        <f>SUMIF(Mercado_Receita!$T$2:$T$300,"44531B1Energia convencional pré-pagamentoResidencialResidencial baixa renda – faixa 01Não se aplicaNão se aplicaNão se aplica",Mercado_Receita!$N$2:$N$300)</f>
        <v>0</v>
      </c>
      <c r="M14" s="13">
        <f>SUMIF(Mercado_Receita!$T$2:$T$300,"44562B1Energia convencional pré-pagamentoResidencialResidencial baixa renda – faixa 01Não se aplicaNão se aplicaNão se aplica",Mercado_Receita!$N$2:$N$300)</f>
        <v>0</v>
      </c>
      <c r="N14" s="13">
        <f>SUMIF(Mercado_Receita!$T$2:$T$300,"44593B1Energia convencional pré-pagamentoResidencialResidencial baixa renda – faixa 01Não se aplicaNão se aplicaNão se aplica",Mercado_Receita!$N$2:$N$300)</f>
        <v>0</v>
      </c>
      <c r="O14" s="13">
        <f>SUMIF(Mercado_Receita!$T$2:$T$300,"44621B1Energia convencional pré-pagamentoResidencialResidencial baixa renda – faixa 01Não se aplicaNão se aplicaNão se aplica",Mercado_Receita!$N$2:$N$300)</f>
        <v>0</v>
      </c>
      <c r="P14" s="13">
        <f>SUMIF(Mercado_Receita!$T$2:$T$300,"44652B1Energia convencional pré-pagamentoResidencialResidencial baixa renda – faixa 01Não se aplicaNão se aplicaNão se aplica",Mercado_Receita!$N$2:$N$300)</f>
        <v>0</v>
      </c>
      <c r="Q14" s="13">
        <f>SUMIF(Mercado_Receita!$T$2:$T$300,"44682B1Energia convencional pré-pagamentoResidencialResidencial baixa renda – faixa 01Não se aplicaNão se aplicaNão se aplica",Mercado_Receita!$N$2:$N$300)</f>
        <v>0</v>
      </c>
      <c r="R14" s="13">
        <f>SUMIF(Mercado_Receita!$T$2:$T$300,"44713B1Energia convencional pré-pagamentoResidencialResidencial baixa renda – faixa 01Não se aplicaNão se aplicaNão se aplica",Mercado_Receita!$N$2:$N$300)</f>
        <v>0</v>
      </c>
      <c r="S14" s="13">
        <f>SUMIF(Mercado_Receita!$T$2:$T$300,"44743B1Energia convencional pré-pagamentoResidencialResidencial baixa renda – faixa 01Não se aplicaNão se aplicaNão se aplica",Mercado_Receita!$N$2:$N$300)</f>
        <v>0</v>
      </c>
      <c r="T14" s="13">
        <f>SUMIF(Mercado_Receita!$T$2:$T$300,"44774B1Energia convencional pré-pagamentoResidencialResidencial baixa renda – faixa 01Não se aplicaNão se aplicaNão se aplica",Mercado_Receita!$N$2:$N$300)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82"/>
      <c r="B15" s="82"/>
      <c r="C15" s="82"/>
      <c r="D15" s="12" t="s">
        <v>30</v>
      </c>
      <c r="E15" s="12" t="s">
        <v>25</v>
      </c>
      <c r="F15" s="12" t="s">
        <v>25</v>
      </c>
      <c r="G15" s="13" t="s">
        <v>72</v>
      </c>
      <c r="H15" s="13" t="s">
        <v>68</v>
      </c>
      <c r="I15" s="13">
        <f>SUMIF(Mercado_Receita!$T$2:$T$300,"44440B1Energia convencional pré-pagamentoResidencialResidencial baixa renda – faixa 02Não se aplicaNão se aplicaNão se aplica",Mercado_Receita!$N$2:$N$300)</f>
        <v>0</v>
      </c>
      <c r="J15" s="13">
        <f>SUMIF(Mercado_Receita!$T$2:$T$300,"44470B1Energia convencional pré-pagamentoResidencialResidencial baixa renda – faixa 02Não se aplicaNão se aplicaNão se aplica",Mercado_Receita!$N$2:$N$300)</f>
        <v>0</v>
      </c>
      <c r="K15" s="13">
        <f>SUMIF(Mercado_Receita!$T$2:$T$300,"44501B1Energia convencional pré-pagamentoResidencialResidencial baixa renda – faixa 02Não se aplicaNão se aplicaNão se aplica",Mercado_Receita!$N$2:$N$300)</f>
        <v>0</v>
      </c>
      <c r="L15" s="13">
        <f>SUMIF(Mercado_Receita!$T$2:$T$300,"44531B1Energia convencional pré-pagamentoResidencialResidencial baixa renda – faixa 02Não se aplicaNão se aplicaNão se aplica",Mercado_Receita!$N$2:$N$300)</f>
        <v>0</v>
      </c>
      <c r="M15" s="13">
        <f>SUMIF(Mercado_Receita!$T$2:$T$300,"44562B1Energia convencional pré-pagamentoResidencialResidencial baixa renda – faixa 02Não se aplicaNão se aplicaNão se aplica",Mercado_Receita!$N$2:$N$300)</f>
        <v>0</v>
      </c>
      <c r="N15" s="13">
        <f>SUMIF(Mercado_Receita!$T$2:$T$300,"44593B1Energia convencional pré-pagamentoResidencialResidencial baixa renda – faixa 02Não se aplicaNão se aplicaNão se aplica",Mercado_Receita!$N$2:$N$300)</f>
        <v>0</v>
      </c>
      <c r="O15" s="13">
        <f>SUMIF(Mercado_Receita!$T$2:$T$300,"44621B1Energia convencional pré-pagamentoResidencialResidencial baixa renda – faixa 02Não se aplicaNão se aplicaNão se aplica",Mercado_Receita!$N$2:$N$300)</f>
        <v>0</v>
      </c>
      <c r="P15" s="13">
        <f>SUMIF(Mercado_Receita!$T$2:$T$300,"44652B1Energia convencional pré-pagamentoResidencialResidencial baixa renda – faixa 02Não se aplicaNão se aplicaNão se aplica",Mercado_Receita!$N$2:$N$300)</f>
        <v>0</v>
      </c>
      <c r="Q15" s="13">
        <f>SUMIF(Mercado_Receita!$T$2:$T$300,"44682B1Energia convencional pré-pagamentoResidencialResidencial baixa renda – faixa 02Não se aplicaNão se aplicaNão se aplica",Mercado_Receita!$N$2:$N$300)</f>
        <v>0</v>
      </c>
      <c r="R15" s="13">
        <f>SUMIF(Mercado_Receita!$T$2:$T$300,"44713B1Energia convencional pré-pagamentoResidencialResidencial baixa renda – faixa 02Não se aplicaNão se aplicaNão se aplica",Mercado_Receita!$N$2:$N$300)</f>
        <v>0</v>
      </c>
      <c r="S15" s="13">
        <f>SUMIF(Mercado_Receita!$T$2:$T$300,"44743B1Energia convencional pré-pagamentoResidencialResidencial baixa renda – faixa 02Não se aplicaNão se aplicaNão se aplica",Mercado_Receita!$N$2:$N$300)</f>
        <v>0</v>
      </c>
      <c r="T15" s="13">
        <f>SUMIF(Mercado_Receita!$T$2:$T$300,"44774B1Energia convencional pré-pagamentoResidencialResidencial baixa renda – faixa 02Não se aplicaNão se aplicaNão se aplica",Mercado_Receita!$N$2:$N$300)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82"/>
      <c r="B16" s="82"/>
      <c r="C16" s="82"/>
      <c r="D16" s="12" t="s">
        <v>31</v>
      </c>
      <c r="E16" s="12" t="s">
        <v>25</v>
      </c>
      <c r="F16" s="12" t="s">
        <v>25</v>
      </c>
      <c r="G16" s="13" t="s">
        <v>72</v>
      </c>
      <c r="H16" s="13" t="s">
        <v>68</v>
      </c>
      <c r="I16" s="13">
        <f>SUMIF(Mercado_Receita!$T$2:$T$300,"44440B1Energia convencional pré-pagamentoResidencialResidencial baixa renda – faixa 03Não se aplicaNão se aplicaNão se aplica",Mercado_Receita!$N$2:$N$300)</f>
        <v>0</v>
      </c>
      <c r="J16" s="13">
        <f>SUMIF(Mercado_Receita!$T$2:$T$300,"44470B1Energia convencional pré-pagamentoResidencialResidencial baixa renda – faixa 03Não se aplicaNão se aplicaNão se aplica",Mercado_Receita!$N$2:$N$300)</f>
        <v>0</v>
      </c>
      <c r="K16" s="13">
        <f>SUMIF(Mercado_Receita!$T$2:$T$300,"44501B1Energia convencional pré-pagamentoResidencialResidencial baixa renda – faixa 03Não se aplicaNão se aplicaNão se aplica",Mercado_Receita!$N$2:$N$300)</f>
        <v>0</v>
      </c>
      <c r="L16" s="13">
        <f>SUMIF(Mercado_Receita!$T$2:$T$300,"44531B1Energia convencional pré-pagamentoResidencialResidencial baixa renda – faixa 03Não se aplicaNão se aplicaNão se aplica",Mercado_Receita!$N$2:$N$300)</f>
        <v>0</v>
      </c>
      <c r="M16" s="13">
        <f>SUMIF(Mercado_Receita!$T$2:$T$300,"44562B1Energia convencional pré-pagamentoResidencialResidencial baixa renda – faixa 03Não se aplicaNão se aplicaNão se aplica",Mercado_Receita!$N$2:$N$300)</f>
        <v>0</v>
      </c>
      <c r="N16" s="13">
        <f>SUMIF(Mercado_Receita!$T$2:$T$300,"44593B1Energia convencional pré-pagamentoResidencialResidencial baixa renda – faixa 03Não se aplicaNão se aplicaNão se aplica",Mercado_Receita!$N$2:$N$300)</f>
        <v>0</v>
      </c>
      <c r="O16" s="13">
        <f>SUMIF(Mercado_Receita!$T$2:$T$300,"44621B1Energia convencional pré-pagamentoResidencialResidencial baixa renda – faixa 03Não se aplicaNão se aplicaNão se aplica",Mercado_Receita!$N$2:$N$300)</f>
        <v>0</v>
      </c>
      <c r="P16" s="13">
        <f>SUMIF(Mercado_Receita!$T$2:$T$300,"44652B1Energia convencional pré-pagamentoResidencialResidencial baixa renda – faixa 03Não se aplicaNão se aplicaNão se aplica",Mercado_Receita!$N$2:$N$300)</f>
        <v>0</v>
      </c>
      <c r="Q16" s="13">
        <f>SUMIF(Mercado_Receita!$T$2:$T$300,"44682B1Energia convencional pré-pagamentoResidencialResidencial baixa renda – faixa 03Não se aplicaNão se aplicaNão se aplica",Mercado_Receita!$N$2:$N$300)</f>
        <v>0</v>
      </c>
      <c r="R16" s="13">
        <f>SUMIF(Mercado_Receita!$T$2:$T$300,"44713B1Energia convencional pré-pagamentoResidencialResidencial baixa renda – faixa 03Não se aplicaNão se aplicaNão se aplica",Mercado_Receita!$N$2:$N$300)</f>
        <v>0</v>
      </c>
      <c r="S16" s="13">
        <f>SUMIF(Mercado_Receita!$T$2:$T$300,"44743B1Energia convencional pré-pagamentoResidencialResidencial baixa renda – faixa 03Não se aplicaNão se aplicaNão se aplica",Mercado_Receita!$N$2:$N$300)</f>
        <v>0</v>
      </c>
      <c r="T16" s="13">
        <f>SUMIF(Mercado_Receita!$T$2:$T$300,"44774B1Energia convencional pré-pagamentoResidencialResidencial baixa renda – faixa 03Não se aplicaNão se aplicaNão se aplica",Mercado_Receita!$N$2:$N$300)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82"/>
      <c r="B17" s="82"/>
      <c r="C17" s="82"/>
      <c r="D17" s="12" t="s">
        <v>32</v>
      </c>
      <c r="E17" s="12" t="s">
        <v>25</v>
      </c>
      <c r="F17" s="12" t="s">
        <v>25</v>
      </c>
      <c r="G17" s="13" t="s">
        <v>72</v>
      </c>
      <c r="H17" s="13" t="s">
        <v>68</v>
      </c>
      <c r="I17" s="13">
        <f>SUMIF(Mercado_Receita!$T$2:$T$300,"44440B1Energia convencional pré-pagamentoResidencialResidencial baixa renda – faixa 04Não se aplicaNão se aplicaNão se aplica",Mercado_Receita!$N$2:$N$300)</f>
        <v>0</v>
      </c>
      <c r="J17" s="13">
        <f>SUMIF(Mercado_Receita!$T$2:$T$300,"44470B1Energia convencional pré-pagamentoResidencialResidencial baixa renda – faixa 04Não se aplicaNão se aplicaNão se aplica",Mercado_Receita!$N$2:$N$300)</f>
        <v>0</v>
      </c>
      <c r="K17" s="13">
        <f>SUMIF(Mercado_Receita!$T$2:$T$300,"44501B1Energia convencional pré-pagamentoResidencialResidencial baixa renda – faixa 04Não se aplicaNão se aplicaNão se aplica",Mercado_Receita!$N$2:$N$300)</f>
        <v>0</v>
      </c>
      <c r="L17" s="13">
        <f>SUMIF(Mercado_Receita!$T$2:$T$300,"44531B1Energia convencional pré-pagamentoResidencialResidencial baixa renda – faixa 04Não se aplicaNão se aplicaNão se aplica",Mercado_Receita!$N$2:$N$300)</f>
        <v>0</v>
      </c>
      <c r="M17" s="13">
        <f>SUMIF(Mercado_Receita!$T$2:$T$300,"44562B1Energia convencional pré-pagamentoResidencialResidencial baixa renda – faixa 04Não se aplicaNão se aplicaNão se aplica",Mercado_Receita!$N$2:$N$300)</f>
        <v>0</v>
      </c>
      <c r="N17" s="13">
        <f>SUMIF(Mercado_Receita!$T$2:$T$300,"44593B1Energia convencional pré-pagamentoResidencialResidencial baixa renda – faixa 04Não se aplicaNão se aplicaNão se aplica",Mercado_Receita!$N$2:$N$300)</f>
        <v>0</v>
      </c>
      <c r="O17" s="13">
        <f>SUMIF(Mercado_Receita!$T$2:$T$300,"44621B1Energia convencional pré-pagamentoResidencialResidencial baixa renda – faixa 04Não se aplicaNão se aplicaNão se aplica",Mercado_Receita!$N$2:$N$300)</f>
        <v>0</v>
      </c>
      <c r="P17" s="13">
        <f>SUMIF(Mercado_Receita!$T$2:$T$300,"44652B1Energia convencional pré-pagamentoResidencialResidencial baixa renda – faixa 04Não se aplicaNão se aplicaNão se aplica",Mercado_Receita!$N$2:$N$300)</f>
        <v>0</v>
      </c>
      <c r="Q17" s="13">
        <f>SUMIF(Mercado_Receita!$T$2:$T$300,"44682B1Energia convencional pré-pagamentoResidencialResidencial baixa renda – faixa 04Não se aplicaNão se aplicaNão se aplica",Mercado_Receita!$N$2:$N$300)</f>
        <v>0</v>
      </c>
      <c r="R17" s="13">
        <f>SUMIF(Mercado_Receita!$T$2:$T$300,"44713B1Energia convencional pré-pagamentoResidencialResidencial baixa renda – faixa 04Não se aplicaNão se aplicaNão se aplica",Mercado_Receita!$N$2:$N$300)</f>
        <v>0</v>
      </c>
      <c r="S17" s="13">
        <f>SUMIF(Mercado_Receita!$T$2:$T$300,"44743B1Energia convencional pré-pagamentoResidencialResidencial baixa renda – faixa 04Não se aplicaNão se aplicaNão se aplica",Mercado_Receita!$N$2:$N$300)</f>
        <v>0</v>
      </c>
      <c r="T17" s="13">
        <f>SUMIF(Mercado_Receita!$T$2:$T$300,"44774B1Energia convencional pré-pagamentoResidencialResidencial baixa renda – faixa 04Não se aplicaNão se aplicaNão se aplica",Mercado_Receita!$N$2:$N$300)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81" t="s">
        <v>41</v>
      </c>
      <c r="B18" s="81" t="s">
        <v>67</v>
      </c>
      <c r="C18" s="81" t="s">
        <v>42</v>
      </c>
      <c r="D18" s="81" t="s">
        <v>25</v>
      </c>
      <c r="E18" s="81" t="s">
        <v>25</v>
      </c>
      <c r="F18" s="81" t="s">
        <v>25</v>
      </c>
      <c r="G18" s="13" t="s">
        <v>69</v>
      </c>
      <c r="H18" s="13" t="s">
        <v>68</v>
      </c>
      <c r="I18" s="13">
        <f>SUMIF(Mercado_Receita!$T$2:$T$300,"44440B2Energia horáriaRuralNão se aplicaNão se aplicaNão se aplicaPonta",Mercado_Receita!$N$2:$N$300)</f>
        <v>0</v>
      </c>
      <c r="J18" s="13">
        <f>SUMIF(Mercado_Receita!$T$2:$T$300,"44470B2Energia horáriaRuralNão se aplicaNão se aplicaNão se aplicaPonta",Mercado_Receita!$N$2:$N$300)</f>
        <v>0</v>
      </c>
      <c r="K18" s="13">
        <f>SUMIF(Mercado_Receita!$T$2:$T$300,"44501B2Energia horáriaRuralNão se aplicaNão se aplicaNão se aplicaPonta",Mercado_Receita!$N$2:$N$300)</f>
        <v>0</v>
      </c>
      <c r="L18" s="13">
        <f>SUMIF(Mercado_Receita!$T$2:$T$300,"44531B2Energia horáriaRuralNão se aplicaNão se aplicaNão se aplicaPonta",Mercado_Receita!$N$2:$N$300)</f>
        <v>0</v>
      </c>
      <c r="M18" s="13">
        <f>SUMIF(Mercado_Receita!$T$2:$T$300,"44562B2Energia horáriaRuralNão se aplicaNão se aplicaNão se aplicaPonta",Mercado_Receita!$N$2:$N$300)</f>
        <v>0</v>
      </c>
      <c r="N18" s="13">
        <f>SUMIF(Mercado_Receita!$T$2:$T$300,"44593B2Energia horáriaRuralNão se aplicaNão se aplicaNão se aplicaPonta",Mercado_Receita!$N$2:$N$300)</f>
        <v>0</v>
      </c>
      <c r="O18" s="13">
        <f>SUMIF(Mercado_Receita!$T$2:$T$300,"44621B2Energia horáriaRuralNão se aplicaNão se aplicaNão se aplicaPonta",Mercado_Receita!$N$2:$N$300)</f>
        <v>0</v>
      </c>
      <c r="P18" s="13">
        <f>SUMIF(Mercado_Receita!$T$2:$T$300,"44652B2Energia horáriaRuralNão se aplicaNão se aplicaNão se aplicaPonta",Mercado_Receita!$N$2:$N$300)</f>
        <v>0</v>
      </c>
      <c r="Q18" s="13">
        <f>SUMIF(Mercado_Receita!$T$2:$T$300,"44682B2Energia horáriaRuralNão se aplicaNão se aplicaNão se aplicaPonta",Mercado_Receita!$N$2:$N$300)</f>
        <v>0</v>
      </c>
      <c r="R18" s="13">
        <f>SUMIF(Mercado_Receita!$T$2:$T$300,"44713B2Energia horáriaRuralNão se aplicaNão se aplicaNão se aplicaPonta",Mercado_Receita!$N$2:$N$300)</f>
        <v>0</v>
      </c>
      <c r="S18" s="13">
        <f>SUMIF(Mercado_Receita!$T$2:$T$300,"44743B2Energia horáriaRuralNão se aplicaNão se aplicaNão se aplicaPonta",Mercado_Receita!$N$2:$N$300)</f>
        <v>0</v>
      </c>
      <c r="T18" s="13">
        <f>SUMIF(Mercado_Receita!$T$2:$T$300,"44774B2Energia horáriaRuralNão se aplicaNão se aplicaNão se aplicaPonta",Mercado_Receita!$N$2:$N$300)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82"/>
      <c r="B19" s="82"/>
      <c r="C19" s="82"/>
      <c r="D19" s="82"/>
      <c r="E19" s="82"/>
      <c r="F19" s="82"/>
      <c r="G19" s="13" t="s">
        <v>82</v>
      </c>
      <c r="H19" s="13" t="s">
        <v>68</v>
      </c>
      <c r="I19" s="13">
        <f>SUMIF(Mercado_Receita!$T$2:$T$300,"44440B2Energia horáriaRuralNão se aplicaNão se aplicaNão se aplicaIntermediário",Mercado_Receita!$N$2:$N$300)</f>
        <v>0</v>
      </c>
      <c r="J19" s="13">
        <f>SUMIF(Mercado_Receita!$T$2:$T$300,"44470B2Energia horáriaRuralNão se aplicaNão se aplicaNão se aplicaIntermediário",Mercado_Receita!$N$2:$N$300)</f>
        <v>0</v>
      </c>
      <c r="K19" s="13">
        <f>SUMIF(Mercado_Receita!$T$2:$T$300,"44501B2Energia horáriaRuralNão se aplicaNão se aplicaNão se aplicaIntermediário",Mercado_Receita!$N$2:$N$300)</f>
        <v>0</v>
      </c>
      <c r="L19" s="13">
        <f>SUMIF(Mercado_Receita!$T$2:$T$300,"44531B2Energia horáriaRuralNão se aplicaNão se aplicaNão se aplicaIntermediário",Mercado_Receita!$N$2:$N$300)</f>
        <v>0</v>
      </c>
      <c r="M19" s="13">
        <f>SUMIF(Mercado_Receita!$T$2:$T$300,"44562B2Energia horáriaRuralNão se aplicaNão se aplicaNão se aplicaIntermediário",Mercado_Receita!$N$2:$N$300)</f>
        <v>0</v>
      </c>
      <c r="N19" s="13">
        <f>SUMIF(Mercado_Receita!$T$2:$T$300,"44593B2Energia horáriaRuralNão se aplicaNão se aplicaNão se aplicaIntermediário",Mercado_Receita!$N$2:$N$300)</f>
        <v>0</v>
      </c>
      <c r="O19" s="13">
        <f>SUMIF(Mercado_Receita!$T$2:$T$300,"44621B2Energia horáriaRuralNão se aplicaNão se aplicaNão se aplicaIntermediário",Mercado_Receita!$N$2:$N$300)</f>
        <v>0</v>
      </c>
      <c r="P19" s="13">
        <f>SUMIF(Mercado_Receita!$T$2:$T$300,"44652B2Energia horáriaRuralNão se aplicaNão se aplicaNão se aplicaIntermediário",Mercado_Receita!$N$2:$N$300)</f>
        <v>0</v>
      </c>
      <c r="Q19" s="13">
        <f>SUMIF(Mercado_Receita!$T$2:$T$300,"44682B2Energia horáriaRuralNão se aplicaNão se aplicaNão se aplicaIntermediário",Mercado_Receita!$N$2:$N$300)</f>
        <v>0</v>
      </c>
      <c r="R19" s="13">
        <f>SUMIF(Mercado_Receita!$T$2:$T$300,"44713B2Energia horáriaRuralNão se aplicaNão se aplicaNão se aplicaIntermediário",Mercado_Receita!$N$2:$N$300)</f>
        <v>0</v>
      </c>
      <c r="S19" s="13">
        <f>SUMIF(Mercado_Receita!$T$2:$T$300,"44743B2Energia horáriaRuralNão se aplicaNão se aplicaNão se aplicaIntermediário",Mercado_Receita!$N$2:$N$300)</f>
        <v>0</v>
      </c>
      <c r="T19" s="13">
        <f>SUMIF(Mercado_Receita!$T$2:$T$300,"44774B2Energia horáriaRuralNão se aplicaNão se aplicaNão se aplicaIntermediário",Mercado_Receita!$N$2:$N$300)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82"/>
      <c r="B20" s="82"/>
      <c r="C20" s="82"/>
      <c r="D20" s="82"/>
      <c r="E20" s="82"/>
      <c r="F20" s="82"/>
      <c r="G20" s="13" t="s">
        <v>70</v>
      </c>
      <c r="H20" s="13" t="s">
        <v>68</v>
      </c>
      <c r="I20" s="13">
        <f>SUMIF(Mercado_Receita!$T$2:$T$300,"44440B2Energia horáriaRuralNão se aplicaNão se aplicaNão se aplicaFora ponta",Mercado_Receita!$N$2:$N$300)</f>
        <v>0</v>
      </c>
      <c r="J20" s="13">
        <f>SUMIF(Mercado_Receita!$T$2:$T$300,"44470B2Energia horáriaRuralNão se aplicaNão se aplicaNão se aplicaFora ponta",Mercado_Receita!$N$2:$N$300)</f>
        <v>0</v>
      </c>
      <c r="K20" s="13">
        <f>SUMIF(Mercado_Receita!$T$2:$T$300,"44501B2Energia horáriaRuralNão se aplicaNão se aplicaNão se aplicaFora ponta",Mercado_Receita!$N$2:$N$300)</f>
        <v>0</v>
      </c>
      <c r="L20" s="13">
        <f>SUMIF(Mercado_Receita!$T$2:$T$300,"44531B2Energia horáriaRuralNão se aplicaNão se aplicaNão se aplicaFora ponta",Mercado_Receita!$N$2:$N$300)</f>
        <v>0</v>
      </c>
      <c r="M20" s="13">
        <f>SUMIF(Mercado_Receita!$T$2:$T$300,"44562B2Energia horáriaRuralNão se aplicaNão se aplicaNão se aplicaFora ponta",Mercado_Receita!$N$2:$N$300)</f>
        <v>0</v>
      </c>
      <c r="N20" s="13">
        <f>SUMIF(Mercado_Receita!$T$2:$T$300,"44593B2Energia horáriaRuralNão se aplicaNão se aplicaNão se aplicaFora ponta",Mercado_Receita!$N$2:$N$300)</f>
        <v>0</v>
      </c>
      <c r="O20" s="13">
        <f>SUMIF(Mercado_Receita!$T$2:$T$300,"44621B2Energia horáriaRuralNão se aplicaNão se aplicaNão se aplicaFora ponta",Mercado_Receita!$N$2:$N$300)</f>
        <v>0</v>
      </c>
      <c r="P20" s="13">
        <f>SUMIF(Mercado_Receita!$T$2:$T$300,"44652B2Energia horáriaRuralNão se aplicaNão se aplicaNão se aplicaFora ponta",Mercado_Receita!$N$2:$N$300)</f>
        <v>0</v>
      </c>
      <c r="Q20" s="13">
        <f>SUMIF(Mercado_Receita!$T$2:$T$300,"44682B2Energia horáriaRuralNão se aplicaNão se aplicaNão se aplicaFora ponta",Mercado_Receita!$N$2:$N$300)</f>
        <v>0</v>
      </c>
      <c r="R20" s="13">
        <f>SUMIF(Mercado_Receita!$T$2:$T$300,"44713B2Energia horáriaRuralNão se aplicaNão se aplicaNão se aplicaFora ponta",Mercado_Receita!$N$2:$N$300)</f>
        <v>0</v>
      </c>
      <c r="S20" s="13">
        <f>SUMIF(Mercado_Receita!$T$2:$T$300,"44743B2Energia horáriaRuralNão se aplicaNão se aplicaNão se aplicaFora ponta",Mercado_Receita!$N$2:$N$300)</f>
        <v>0</v>
      </c>
      <c r="T20" s="13">
        <f>SUMIF(Mercado_Receita!$T$2:$T$300,"44774B2Energia horáriaRuralNão se aplicaNão se aplicaNão se aplicaFora ponta",Mercado_Receita!$N$2:$N$300)</f>
        <v>0</v>
      </c>
      <c r="U20" s="13">
        <f t="shared" si="0"/>
        <v>0</v>
      </c>
      <c r="V20" s="13"/>
      <c r="W20" s="13"/>
    </row>
    <row r="21" spans="1:23" ht="11.25" customHeight="1" x14ac:dyDescent="0.3">
      <c r="A21" s="82"/>
      <c r="B21" s="12" t="s">
        <v>71</v>
      </c>
      <c r="C21" s="12" t="s">
        <v>42</v>
      </c>
      <c r="D21" s="12" t="s">
        <v>25</v>
      </c>
      <c r="E21" s="12" t="s">
        <v>25</v>
      </c>
      <c r="F21" s="12" t="s">
        <v>25</v>
      </c>
      <c r="G21" s="13" t="s">
        <v>72</v>
      </c>
      <c r="H21" s="13" t="s">
        <v>68</v>
      </c>
      <c r="I21" s="13">
        <f>SUMIF(Mercado_Receita!$T$2:$T$300,"44440B2Energia convencionalRuralNão se aplicaNão se aplicaNão se aplicaNão se aplica",Mercado_Receita!$N$2:$N$300)</f>
        <v>108.95700000000001</v>
      </c>
      <c r="J21" s="13">
        <f>SUMIF(Mercado_Receita!$T$2:$T$300,"44470B2Energia convencionalRuralNão se aplicaNão se aplicaNão se aplicaNão se aplica",Mercado_Receita!$N$2:$N$300)</f>
        <v>106.313</v>
      </c>
      <c r="K21" s="13">
        <f>SUMIF(Mercado_Receita!$T$2:$T$300,"44501B2Energia convencionalRuralNão se aplicaNão se aplicaNão se aplicaNão se aplica",Mercado_Receita!$N$2:$N$300)</f>
        <v>111.298</v>
      </c>
      <c r="L21" s="13">
        <f>SUMIF(Mercado_Receita!$T$2:$T$300,"44531B2Energia convencionalRuralNão se aplicaNão se aplicaNão se aplicaNão se aplica",Mercado_Receita!$N$2:$N$300)</f>
        <v>116.46900000000001</v>
      </c>
      <c r="M21" s="13">
        <f>SUMIF(Mercado_Receita!$T$2:$T$300,"44562B2Energia convencionalRuralNão se aplicaNão se aplicaNão se aplicaNão se aplica",Mercado_Receita!$N$2:$N$300)</f>
        <v>135.34800000000001</v>
      </c>
      <c r="N21" s="13">
        <f>SUMIF(Mercado_Receita!$T$2:$T$300,"44593B2Energia convencionalRuralNão se aplicaNão se aplicaNão se aplicaNão se aplica",Mercado_Receita!$N$2:$N$300)</f>
        <v>128.77799999999999</v>
      </c>
      <c r="O21" s="13">
        <f>SUMIF(Mercado_Receita!$T$2:$T$300,"44621B2Energia convencionalRuralNão se aplicaNão se aplicaNão se aplicaNão se aplica",Mercado_Receita!$N$2:$N$300)</f>
        <v>132.58600000000001</v>
      </c>
      <c r="P21" s="13">
        <f>SUMIF(Mercado_Receita!$T$2:$T$300,"44652B2Energia convencionalRuralNão se aplicaNão se aplicaNão se aplicaNão se aplica",Mercado_Receita!$N$2:$N$300)</f>
        <v>125.161</v>
      </c>
      <c r="Q21" s="13">
        <f>SUMIF(Mercado_Receita!$T$2:$T$300,"44682B2Energia convencionalRuralNão se aplicaNão se aplicaNão se aplicaNão se aplica",Mercado_Receita!$N$2:$N$300)</f>
        <v>117.699</v>
      </c>
      <c r="R21" s="13">
        <f>SUMIF(Mercado_Receita!$T$2:$T$300,"44713B2Energia convencionalRuralNão se aplicaNão se aplicaNão se aplicaNão se aplica",Mercado_Receita!$N$2:$N$300)</f>
        <v>95.903000000000006</v>
      </c>
      <c r="S21" s="13">
        <f>SUMIF(Mercado_Receita!$T$2:$T$300,"44743B2Energia convencionalRuralNão se aplicaNão se aplicaNão se aplicaNão se aplica",Mercado_Receita!$N$2:$N$300)</f>
        <v>101.13500000000001</v>
      </c>
      <c r="T21" s="13">
        <f>SUMIF(Mercado_Receita!$T$2:$T$300,"44774B2Energia convencionalRuralNão se aplicaNão se aplicaNão se aplicaNão se aplica",Mercado_Receita!$N$2:$N$300)</f>
        <v>104.32000000000001</v>
      </c>
      <c r="U21" s="13">
        <f t="shared" si="0"/>
        <v>1383.9670000000001</v>
      </c>
      <c r="V21" s="13"/>
      <c r="W21" s="13"/>
    </row>
    <row r="22" spans="1:23" ht="11.25" customHeight="1" x14ac:dyDescent="0.3">
      <c r="A22" s="82"/>
      <c r="B22" s="81" t="s">
        <v>67</v>
      </c>
      <c r="C22" s="81" t="s">
        <v>42</v>
      </c>
      <c r="D22" s="81" t="s">
        <v>85</v>
      </c>
      <c r="E22" s="81" t="s">
        <v>25</v>
      </c>
      <c r="F22" s="81" t="s">
        <v>25</v>
      </c>
      <c r="G22" s="13" t="s">
        <v>69</v>
      </c>
      <c r="H22" s="13" t="s">
        <v>68</v>
      </c>
      <c r="I22" s="13">
        <f>SUMIF(Mercado_Receita!$T$2:$T$300,"44440B2Energia horáriaRuralCooperativa de eletrificação ruralNão se aplicaNão se aplicaPonta",Mercado_Receita!$N$2:$N$300)</f>
        <v>0</v>
      </c>
      <c r="J22" s="13">
        <f>SUMIF(Mercado_Receita!$T$2:$T$300,"44470B2Energia horáriaRuralCooperativa de eletrificação ruralNão se aplicaNão se aplicaPonta",Mercado_Receita!$N$2:$N$300)</f>
        <v>0</v>
      </c>
      <c r="K22" s="13">
        <f>SUMIF(Mercado_Receita!$T$2:$T$300,"44501B2Energia horáriaRuralCooperativa de eletrificação ruralNão se aplicaNão se aplicaPonta",Mercado_Receita!$N$2:$N$300)</f>
        <v>0</v>
      </c>
      <c r="L22" s="13">
        <f>SUMIF(Mercado_Receita!$T$2:$T$300,"44531B2Energia horáriaRuralCooperativa de eletrificação ruralNão se aplicaNão se aplicaPonta",Mercado_Receita!$N$2:$N$300)</f>
        <v>0</v>
      </c>
      <c r="M22" s="13">
        <f>SUMIF(Mercado_Receita!$T$2:$T$300,"44562B2Energia horáriaRuralCooperativa de eletrificação ruralNão se aplicaNão se aplicaPonta",Mercado_Receita!$N$2:$N$300)</f>
        <v>0</v>
      </c>
      <c r="N22" s="13">
        <f>SUMIF(Mercado_Receita!$T$2:$T$300,"44593B2Energia horáriaRuralCooperativa de eletrificação ruralNão se aplicaNão se aplicaPonta",Mercado_Receita!$N$2:$N$300)</f>
        <v>0</v>
      </c>
      <c r="O22" s="13">
        <f>SUMIF(Mercado_Receita!$T$2:$T$300,"44621B2Energia horáriaRuralCooperativa de eletrificação ruralNão se aplicaNão se aplicaPonta",Mercado_Receita!$N$2:$N$300)</f>
        <v>0</v>
      </c>
      <c r="P22" s="13">
        <f>SUMIF(Mercado_Receita!$T$2:$T$300,"44652B2Energia horáriaRuralCooperativa de eletrificação ruralNão se aplicaNão se aplicaPonta",Mercado_Receita!$N$2:$N$300)</f>
        <v>0</v>
      </c>
      <c r="Q22" s="13">
        <f>SUMIF(Mercado_Receita!$T$2:$T$300,"44682B2Energia horáriaRuralCooperativa de eletrificação ruralNão se aplicaNão se aplicaPonta",Mercado_Receita!$N$2:$N$300)</f>
        <v>0</v>
      </c>
      <c r="R22" s="13">
        <f>SUMIF(Mercado_Receita!$T$2:$T$300,"44713B2Energia horáriaRuralCooperativa de eletrificação ruralNão se aplicaNão se aplicaPonta",Mercado_Receita!$N$2:$N$300)</f>
        <v>0</v>
      </c>
      <c r="S22" s="13">
        <f>SUMIF(Mercado_Receita!$T$2:$T$300,"44743B2Energia horáriaRuralCooperativa de eletrificação ruralNão se aplicaNão se aplicaPonta",Mercado_Receita!$N$2:$N$300)</f>
        <v>0</v>
      </c>
      <c r="T22" s="13">
        <f>SUMIF(Mercado_Receita!$T$2:$T$300,"44774B2Energia horáriaRuralCooperativa de eletrificação ruralNão se aplicaNão se aplicaPonta",Mercado_Receita!$N$2:$N$300)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82"/>
      <c r="B23" s="82"/>
      <c r="C23" s="82"/>
      <c r="D23" s="82"/>
      <c r="E23" s="82"/>
      <c r="F23" s="82"/>
      <c r="G23" s="13" t="s">
        <v>82</v>
      </c>
      <c r="H23" s="13" t="s">
        <v>68</v>
      </c>
      <c r="I23" s="13">
        <f>SUMIF(Mercado_Receita!$T$2:$T$300,"44440B2Energia horáriaRuralCooperativa de eletrificação ruralNão se aplicaNão se aplicaIntermediário",Mercado_Receita!$N$2:$N$300)</f>
        <v>0</v>
      </c>
      <c r="J23" s="13">
        <f>SUMIF(Mercado_Receita!$T$2:$T$300,"44470B2Energia horáriaRuralCooperativa de eletrificação ruralNão se aplicaNão se aplicaIntermediário",Mercado_Receita!$N$2:$N$300)</f>
        <v>0</v>
      </c>
      <c r="K23" s="13">
        <f>SUMIF(Mercado_Receita!$T$2:$T$300,"44501B2Energia horáriaRuralCooperativa de eletrificação ruralNão se aplicaNão se aplicaIntermediário",Mercado_Receita!$N$2:$N$300)</f>
        <v>0</v>
      </c>
      <c r="L23" s="13">
        <f>SUMIF(Mercado_Receita!$T$2:$T$300,"44531B2Energia horáriaRuralCooperativa de eletrificação ruralNão se aplicaNão se aplicaIntermediário",Mercado_Receita!$N$2:$N$300)</f>
        <v>0</v>
      </c>
      <c r="M23" s="13">
        <f>SUMIF(Mercado_Receita!$T$2:$T$300,"44562B2Energia horáriaRuralCooperativa de eletrificação ruralNão se aplicaNão se aplicaIntermediário",Mercado_Receita!$N$2:$N$300)</f>
        <v>0</v>
      </c>
      <c r="N23" s="13">
        <f>SUMIF(Mercado_Receita!$T$2:$T$300,"44593B2Energia horáriaRuralCooperativa de eletrificação ruralNão se aplicaNão se aplicaIntermediário",Mercado_Receita!$N$2:$N$300)</f>
        <v>0</v>
      </c>
      <c r="O23" s="13">
        <f>SUMIF(Mercado_Receita!$T$2:$T$300,"44621B2Energia horáriaRuralCooperativa de eletrificação ruralNão se aplicaNão se aplicaIntermediário",Mercado_Receita!$N$2:$N$300)</f>
        <v>0</v>
      </c>
      <c r="P23" s="13">
        <f>SUMIF(Mercado_Receita!$T$2:$T$300,"44652B2Energia horáriaRuralCooperativa de eletrificação ruralNão se aplicaNão se aplicaIntermediário",Mercado_Receita!$N$2:$N$300)</f>
        <v>0</v>
      </c>
      <c r="Q23" s="13">
        <f>SUMIF(Mercado_Receita!$T$2:$T$300,"44682B2Energia horáriaRuralCooperativa de eletrificação ruralNão se aplicaNão se aplicaIntermediário",Mercado_Receita!$N$2:$N$300)</f>
        <v>0</v>
      </c>
      <c r="R23" s="13">
        <f>SUMIF(Mercado_Receita!$T$2:$T$300,"44713B2Energia horáriaRuralCooperativa de eletrificação ruralNão se aplicaNão se aplicaIntermediário",Mercado_Receita!$N$2:$N$300)</f>
        <v>0</v>
      </c>
      <c r="S23" s="13">
        <f>SUMIF(Mercado_Receita!$T$2:$T$300,"44743B2Energia horáriaRuralCooperativa de eletrificação ruralNão se aplicaNão se aplicaIntermediário",Mercado_Receita!$N$2:$N$300)</f>
        <v>0</v>
      </c>
      <c r="T23" s="13">
        <f>SUMIF(Mercado_Receita!$T$2:$T$300,"44774B2Energia horáriaRuralCooperativa de eletrificação ruralNão se aplicaNão se aplicaIntermediário",Mercado_Receita!$N$2:$N$300)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82"/>
      <c r="B24" s="82"/>
      <c r="C24" s="82"/>
      <c r="D24" s="82"/>
      <c r="E24" s="82"/>
      <c r="F24" s="82"/>
      <c r="G24" s="13" t="s">
        <v>70</v>
      </c>
      <c r="H24" s="13" t="s">
        <v>68</v>
      </c>
      <c r="I24" s="13">
        <f>SUMIF(Mercado_Receita!$T$2:$T$300,"44440B2Energia horáriaRuralCooperativa de eletrificação ruralNão se aplicaNão se aplicaFora ponta",Mercado_Receita!$N$2:$N$300)</f>
        <v>0</v>
      </c>
      <c r="J24" s="13">
        <f>SUMIF(Mercado_Receita!$T$2:$T$300,"44470B2Energia horáriaRuralCooperativa de eletrificação ruralNão se aplicaNão se aplicaFora ponta",Mercado_Receita!$N$2:$N$300)</f>
        <v>0</v>
      </c>
      <c r="K24" s="13">
        <f>SUMIF(Mercado_Receita!$T$2:$T$300,"44501B2Energia horáriaRuralCooperativa de eletrificação ruralNão se aplicaNão se aplicaFora ponta",Mercado_Receita!$N$2:$N$300)</f>
        <v>0</v>
      </c>
      <c r="L24" s="13">
        <f>SUMIF(Mercado_Receita!$T$2:$T$300,"44531B2Energia horáriaRuralCooperativa de eletrificação ruralNão se aplicaNão se aplicaFora ponta",Mercado_Receita!$N$2:$N$300)</f>
        <v>0</v>
      </c>
      <c r="M24" s="13">
        <f>SUMIF(Mercado_Receita!$T$2:$T$300,"44562B2Energia horáriaRuralCooperativa de eletrificação ruralNão se aplicaNão se aplicaFora ponta",Mercado_Receita!$N$2:$N$300)</f>
        <v>0</v>
      </c>
      <c r="N24" s="13">
        <f>SUMIF(Mercado_Receita!$T$2:$T$300,"44593B2Energia horáriaRuralCooperativa de eletrificação ruralNão se aplicaNão se aplicaFora ponta",Mercado_Receita!$N$2:$N$300)</f>
        <v>0</v>
      </c>
      <c r="O24" s="13">
        <f>SUMIF(Mercado_Receita!$T$2:$T$300,"44621B2Energia horáriaRuralCooperativa de eletrificação ruralNão se aplicaNão se aplicaFora ponta",Mercado_Receita!$N$2:$N$300)</f>
        <v>0</v>
      </c>
      <c r="P24" s="13">
        <f>SUMIF(Mercado_Receita!$T$2:$T$300,"44652B2Energia horáriaRuralCooperativa de eletrificação ruralNão se aplicaNão se aplicaFora ponta",Mercado_Receita!$N$2:$N$300)</f>
        <v>0</v>
      </c>
      <c r="Q24" s="13">
        <f>SUMIF(Mercado_Receita!$T$2:$T$300,"44682B2Energia horáriaRuralCooperativa de eletrificação ruralNão se aplicaNão se aplicaFora ponta",Mercado_Receita!$N$2:$N$300)</f>
        <v>0</v>
      </c>
      <c r="R24" s="13">
        <f>SUMIF(Mercado_Receita!$T$2:$T$300,"44713B2Energia horáriaRuralCooperativa de eletrificação ruralNão se aplicaNão se aplicaFora ponta",Mercado_Receita!$N$2:$N$300)</f>
        <v>0</v>
      </c>
      <c r="S24" s="13">
        <f>SUMIF(Mercado_Receita!$T$2:$T$300,"44743B2Energia horáriaRuralCooperativa de eletrificação ruralNão se aplicaNão se aplicaFora ponta",Mercado_Receita!$N$2:$N$300)</f>
        <v>0</v>
      </c>
      <c r="T24" s="13">
        <f>SUMIF(Mercado_Receita!$T$2:$T$300,"44774B2Energia horáriaRuralCooperativa de eletrificação ruralNão se aplicaNão se aplicaFora ponta",Mercado_Receita!$N$2:$N$300)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82"/>
      <c r="B25" s="12" t="s">
        <v>71</v>
      </c>
      <c r="C25" s="12" t="s">
        <v>42</v>
      </c>
      <c r="D25" s="12" t="s">
        <v>85</v>
      </c>
      <c r="E25" s="12" t="s">
        <v>25</v>
      </c>
      <c r="F25" s="12" t="s">
        <v>25</v>
      </c>
      <c r="G25" s="13" t="s">
        <v>72</v>
      </c>
      <c r="H25" s="13" t="s">
        <v>68</v>
      </c>
      <c r="I25" s="13">
        <f>SUMIF(Mercado_Receita!$T$2:$T$300,"44440B2Energia convencionalRuralCooperativa de eletrificação ruralNão se aplicaNão se aplicaNão se aplica",Mercado_Receita!$N$2:$N$300)</f>
        <v>0</v>
      </c>
      <c r="J25" s="13">
        <f>SUMIF(Mercado_Receita!$T$2:$T$300,"44470B2Energia convencionalRuralCooperativa de eletrificação ruralNão se aplicaNão se aplicaNão se aplica",Mercado_Receita!$N$2:$N$300)</f>
        <v>0</v>
      </c>
      <c r="K25" s="13">
        <f>SUMIF(Mercado_Receita!$T$2:$T$300,"44501B2Energia convencionalRuralCooperativa de eletrificação ruralNão se aplicaNão se aplicaNão se aplica",Mercado_Receita!$N$2:$N$300)</f>
        <v>0</v>
      </c>
      <c r="L25" s="13">
        <f>SUMIF(Mercado_Receita!$T$2:$T$300,"44531B2Energia convencionalRuralCooperativa de eletrificação ruralNão se aplicaNão se aplicaNão se aplica",Mercado_Receita!$N$2:$N$300)</f>
        <v>0</v>
      </c>
      <c r="M25" s="13">
        <f>SUMIF(Mercado_Receita!$T$2:$T$300,"44562B2Energia convencionalRuralCooperativa de eletrificação ruralNão se aplicaNão se aplicaNão se aplica",Mercado_Receita!$N$2:$N$300)</f>
        <v>0</v>
      </c>
      <c r="N25" s="13">
        <f>SUMIF(Mercado_Receita!$T$2:$T$300,"44593B2Energia convencionalRuralCooperativa de eletrificação ruralNão se aplicaNão se aplicaNão se aplica",Mercado_Receita!$N$2:$N$300)</f>
        <v>0</v>
      </c>
      <c r="O25" s="13">
        <f>SUMIF(Mercado_Receita!$T$2:$T$300,"44621B2Energia convencionalRuralCooperativa de eletrificação ruralNão se aplicaNão se aplicaNão se aplica",Mercado_Receita!$N$2:$N$300)</f>
        <v>0</v>
      </c>
      <c r="P25" s="13">
        <f>SUMIF(Mercado_Receita!$T$2:$T$300,"44652B2Energia convencionalRuralCooperativa de eletrificação ruralNão se aplicaNão se aplicaNão se aplica",Mercado_Receita!$N$2:$N$300)</f>
        <v>0</v>
      </c>
      <c r="Q25" s="13">
        <f>SUMIF(Mercado_Receita!$T$2:$T$300,"44682B2Energia convencionalRuralCooperativa de eletrificação ruralNão se aplicaNão se aplicaNão se aplica",Mercado_Receita!$N$2:$N$300)</f>
        <v>0</v>
      </c>
      <c r="R25" s="13">
        <f>SUMIF(Mercado_Receita!$T$2:$T$300,"44713B2Energia convencionalRuralCooperativa de eletrificação ruralNão se aplicaNão se aplicaNão se aplica",Mercado_Receita!$N$2:$N$300)</f>
        <v>0</v>
      </c>
      <c r="S25" s="13">
        <f>SUMIF(Mercado_Receita!$T$2:$T$300,"44743B2Energia convencionalRuralCooperativa de eletrificação ruralNão se aplicaNão se aplicaNão se aplica",Mercado_Receita!$N$2:$N$300)</f>
        <v>0</v>
      </c>
      <c r="T25" s="13">
        <f>SUMIF(Mercado_Receita!$T$2:$T$300,"44774B2Energia convencionalRuralCooperativa de eletrificação ruralNão se aplicaNão se aplicaNão se aplica",Mercado_Receita!$N$2:$N$300)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82"/>
      <c r="B26" s="81" t="s">
        <v>67</v>
      </c>
      <c r="C26" s="81" t="s">
        <v>42</v>
      </c>
      <c r="D26" s="81" t="s">
        <v>86</v>
      </c>
      <c r="E26" s="81" t="s">
        <v>25</v>
      </c>
      <c r="F26" s="81" t="s">
        <v>25</v>
      </c>
      <c r="G26" s="13" t="s">
        <v>69</v>
      </c>
      <c r="H26" s="13" t="s">
        <v>68</v>
      </c>
      <c r="I26" s="13">
        <f>SUMIF(Mercado_Receita!$T$2:$T$300,"44440B2Energia horáriaRuralServiço público de irrigação ruralNão se aplicaNão se aplicaPonta",Mercado_Receita!$N$2:$N$300)</f>
        <v>0</v>
      </c>
      <c r="J26" s="13">
        <f>SUMIF(Mercado_Receita!$T$2:$T$300,"44470B2Energia horáriaRuralServiço público de irrigação ruralNão se aplicaNão se aplicaPonta",Mercado_Receita!$N$2:$N$300)</f>
        <v>0</v>
      </c>
      <c r="K26" s="13">
        <f>SUMIF(Mercado_Receita!$T$2:$T$300,"44501B2Energia horáriaRuralServiço público de irrigação ruralNão se aplicaNão se aplicaPonta",Mercado_Receita!$N$2:$N$300)</f>
        <v>0</v>
      </c>
      <c r="L26" s="13">
        <f>SUMIF(Mercado_Receita!$T$2:$T$300,"44531B2Energia horáriaRuralServiço público de irrigação ruralNão se aplicaNão se aplicaPonta",Mercado_Receita!$N$2:$N$300)</f>
        <v>0</v>
      </c>
      <c r="M26" s="13">
        <f>SUMIF(Mercado_Receita!$T$2:$T$300,"44562B2Energia horáriaRuralServiço público de irrigação ruralNão se aplicaNão se aplicaPonta",Mercado_Receita!$N$2:$N$300)</f>
        <v>0</v>
      </c>
      <c r="N26" s="13">
        <f>SUMIF(Mercado_Receita!$T$2:$T$300,"44593B2Energia horáriaRuralServiço público de irrigação ruralNão se aplicaNão se aplicaPonta",Mercado_Receita!$N$2:$N$300)</f>
        <v>0</v>
      </c>
      <c r="O26" s="13">
        <f>SUMIF(Mercado_Receita!$T$2:$T$300,"44621B2Energia horáriaRuralServiço público de irrigação ruralNão se aplicaNão se aplicaPonta",Mercado_Receita!$N$2:$N$300)</f>
        <v>0</v>
      </c>
      <c r="P26" s="13">
        <f>SUMIF(Mercado_Receita!$T$2:$T$300,"44652B2Energia horáriaRuralServiço público de irrigação ruralNão se aplicaNão se aplicaPonta",Mercado_Receita!$N$2:$N$300)</f>
        <v>0</v>
      </c>
      <c r="Q26" s="13">
        <f>SUMIF(Mercado_Receita!$T$2:$T$300,"44682B2Energia horáriaRuralServiço público de irrigação ruralNão se aplicaNão se aplicaPonta",Mercado_Receita!$N$2:$N$300)</f>
        <v>0</v>
      </c>
      <c r="R26" s="13">
        <f>SUMIF(Mercado_Receita!$T$2:$T$300,"44713B2Energia horáriaRuralServiço público de irrigação ruralNão se aplicaNão se aplicaPonta",Mercado_Receita!$N$2:$N$300)</f>
        <v>0</v>
      </c>
      <c r="S26" s="13">
        <f>SUMIF(Mercado_Receita!$T$2:$T$300,"44743B2Energia horáriaRuralServiço público de irrigação ruralNão se aplicaNão se aplicaPonta",Mercado_Receita!$N$2:$N$300)</f>
        <v>0</v>
      </c>
      <c r="T26" s="13">
        <f>SUMIF(Mercado_Receita!$T$2:$T$300,"44774B2Energia horáriaRuralServiço público de irrigação ruralNão se aplicaNão se aplicaPonta",Mercado_Receita!$N$2:$N$300)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82"/>
      <c r="B27" s="82"/>
      <c r="C27" s="82"/>
      <c r="D27" s="82"/>
      <c r="E27" s="82"/>
      <c r="F27" s="82"/>
      <c r="G27" s="13" t="s">
        <v>82</v>
      </c>
      <c r="H27" s="13" t="s">
        <v>68</v>
      </c>
      <c r="I27" s="13">
        <f>SUMIF(Mercado_Receita!$T$2:$T$300,"44440B2Energia horáriaRuralServiço público de irrigação ruralNão se aplicaNão se aplicaIntermediário",Mercado_Receita!$N$2:$N$300)</f>
        <v>0</v>
      </c>
      <c r="J27" s="13">
        <f>SUMIF(Mercado_Receita!$T$2:$T$300,"44470B2Energia horáriaRuralServiço público de irrigação ruralNão se aplicaNão se aplicaIntermediário",Mercado_Receita!$N$2:$N$300)</f>
        <v>0</v>
      </c>
      <c r="K27" s="13">
        <f>SUMIF(Mercado_Receita!$T$2:$T$300,"44501B2Energia horáriaRuralServiço público de irrigação ruralNão se aplicaNão se aplicaIntermediário",Mercado_Receita!$N$2:$N$300)</f>
        <v>0</v>
      </c>
      <c r="L27" s="13">
        <f>SUMIF(Mercado_Receita!$T$2:$T$300,"44531B2Energia horáriaRuralServiço público de irrigação ruralNão se aplicaNão se aplicaIntermediário",Mercado_Receita!$N$2:$N$300)</f>
        <v>0</v>
      </c>
      <c r="M27" s="13">
        <f>SUMIF(Mercado_Receita!$T$2:$T$300,"44562B2Energia horáriaRuralServiço público de irrigação ruralNão se aplicaNão se aplicaIntermediário",Mercado_Receita!$N$2:$N$300)</f>
        <v>0</v>
      </c>
      <c r="N27" s="13">
        <f>SUMIF(Mercado_Receita!$T$2:$T$300,"44593B2Energia horáriaRuralServiço público de irrigação ruralNão se aplicaNão se aplicaIntermediário",Mercado_Receita!$N$2:$N$300)</f>
        <v>0</v>
      </c>
      <c r="O27" s="13">
        <f>SUMIF(Mercado_Receita!$T$2:$T$300,"44621B2Energia horáriaRuralServiço público de irrigação ruralNão se aplicaNão se aplicaIntermediário",Mercado_Receita!$N$2:$N$300)</f>
        <v>0</v>
      </c>
      <c r="P27" s="13">
        <f>SUMIF(Mercado_Receita!$T$2:$T$300,"44652B2Energia horáriaRuralServiço público de irrigação ruralNão se aplicaNão se aplicaIntermediário",Mercado_Receita!$N$2:$N$300)</f>
        <v>0</v>
      </c>
      <c r="Q27" s="13">
        <f>SUMIF(Mercado_Receita!$T$2:$T$300,"44682B2Energia horáriaRuralServiço público de irrigação ruralNão se aplicaNão se aplicaIntermediário",Mercado_Receita!$N$2:$N$300)</f>
        <v>0</v>
      </c>
      <c r="R27" s="13">
        <f>SUMIF(Mercado_Receita!$T$2:$T$300,"44713B2Energia horáriaRuralServiço público de irrigação ruralNão se aplicaNão se aplicaIntermediário",Mercado_Receita!$N$2:$N$300)</f>
        <v>0</v>
      </c>
      <c r="S27" s="13">
        <f>SUMIF(Mercado_Receita!$T$2:$T$300,"44743B2Energia horáriaRuralServiço público de irrigação ruralNão se aplicaNão se aplicaIntermediário",Mercado_Receita!$N$2:$N$300)</f>
        <v>0</v>
      </c>
      <c r="T27" s="13">
        <f>SUMIF(Mercado_Receita!$T$2:$T$300,"44774B2Energia horáriaRuralServiço público de irrigação ruralNão se aplicaNão se aplicaIntermediário",Mercado_Receita!$N$2:$N$300)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82"/>
      <c r="B28" s="82"/>
      <c r="C28" s="82"/>
      <c r="D28" s="82"/>
      <c r="E28" s="82"/>
      <c r="F28" s="82"/>
      <c r="G28" s="13" t="s">
        <v>70</v>
      </c>
      <c r="H28" s="13" t="s">
        <v>68</v>
      </c>
      <c r="I28" s="13">
        <f>SUMIF(Mercado_Receita!$T$2:$T$300,"44440B2Energia horáriaRuralServiço público de irrigação ruralNão se aplicaNão se aplicaFora ponta",Mercado_Receita!$N$2:$N$300)</f>
        <v>0</v>
      </c>
      <c r="J28" s="13">
        <f>SUMIF(Mercado_Receita!$T$2:$T$300,"44470B2Energia horáriaRuralServiço público de irrigação ruralNão se aplicaNão se aplicaFora ponta",Mercado_Receita!$N$2:$N$300)</f>
        <v>0</v>
      </c>
      <c r="K28" s="13">
        <f>SUMIF(Mercado_Receita!$T$2:$T$300,"44501B2Energia horáriaRuralServiço público de irrigação ruralNão se aplicaNão se aplicaFora ponta",Mercado_Receita!$N$2:$N$300)</f>
        <v>0</v>
      </c>
      <c r="L28" s="13">
        <f>SUMIF(Mercado_Receita!$T$2:$T$300,"44531B2Energia horáriaRuralServiço público de irrigação ruralNão se aplicaNão se aplicaFora ponta",Mercado_Receita!$N$2:$N$300)</f>
        <v>0</v>
      </c>
      <c r="M28" s="13">
        <f>SUMIF(Mercado_Receita!$T$2:$T$300,"44562B2Energia horáriaRuralServiço público de irrigação ruralNão se aplicaNão se aplicaFora ponta",Mercado_Receita!$N$2:$N$300)</f>
        <v>0</v>
      </c>
      <c r="N28" s="13">
        <f>SUMIF(Mercado_Receita!$T$2:$T$300,"44593B2Energia horáriaRuralServiço público de irrigação ruralNão se aplicaNão se aplicaFora ponta",Mercado_Receita!$N$2:$N$300)</f>
        <v>0</v>
      </c>
      <c r="O28" s="13">
        <f>SUMIF(Mercado_Receita!$T$2:$T$300,"44621B2Energia horáriaRuralServiço público de irrigação ruralNão se aplicaNão se aplicaFora ponta",Mercado_Receita!$N$2:$N$300)</f>
        <v>0</v>
      </c>
      <c r="P28" s="13">
        <f>SUMIF(Mercado_Receita!$T$2:$T$300,"44652B2Energia horáriaRuralServiço público de irrigação ruralNão se aplicaNão se aplicaFora ponta",Mercado_Receita!$N$2:$N$300)</f>
        <v>0</v>
      </c>
      <c r="Q28" s="13">
        <f>SUMIF(Mercado_Receita!$T$2:$T$300,"44682B2Energia horáriaRuralServiço público de irrigação ruralNão se aplicaNão se aplicaFora ponta",Mercado_Receita!$N$2:$N$300)</f>
        <v>0</v>
      </c>
      <c r="R28" s="13">
        <f>SUMIF(Mercado_Receita!$T$2:$T$300,"44713B2Energia horáriaRuralServiço público de irrigação ruralNão se aplicaNão se aplicaFora ponta",Mercado_Receita!$N$2:$N$300)</f>
        <v>0</v>
      </c>
      <c r="S28" s="13">
        <f>SUMIF(Mercado_Receita!$T$2:$T$300,"44743B2Energia horáriaRuralServiço público de irrigação ruralNão se aplicaNão se aplicaFora ponta",Mercado_Receita!$N$2:$N$300)</f>
        <v>0</v>
      </c>
      <c r="T28" s="13">
        <f>SUMIF(Mercado_Receita!$T$2:$T$300,"44774B2Energia horáriaRuralServiço público de irrigação ruralNão se aplicaNão se aplicaFora ponta",Mercado_Receita!$N$2:$N$300)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82"/>
      <c r="B29" s="12" t="s">
        <v>71</v>
      </c>
      <c r="C29" s="12" t="s">
        <v>42</v>
      </c>
      <c r="D29" s="12" t="s">
        <v>86</v>
      </c>
      <c r="E29" s="12" t="s">
        <v>25</v>
      </c>
      <c r="F29" s="12" t="s">
        <v>25</v>
      </c>
      <c r="G29" s="13" t="s">
        <v>72</v>
      </c>
      <c r="H29" s="13" t="s">
        <v>68</v>
      </c>
      <c r="I29" s="13">
        <f>SUMIF(Mercado_Receita!$T$2:$T$300,"44440B2Energia convencionalRuralServiço público de irrigação ruralNão se aplicaNão se aplicaNão se aplica",Mercado_Receita!$N$2:$N$300)</f>
        <v>0</v>
      </c>
      <c r="J29" s="13">
        <f>SUMIF(Mercado_Receita!$T$2:$T$300,"44470B2Energia convencionalRuralServiço público de irrigação ruralNão se aplicaNão se aplicaNão se aplica",Mercado_Receita!$N$2:$N$300)</f>
        <v>0</v>
      </c>
      <c r="K29" s="13">
        <f>SUMIF(Mercado_Receita!$T$2:$T$300,"44501B2Energia convencionalRuralServiço público de irrigação ruralNão se aplicaNão se aplicaNão se aplica",Mercado_Receita!$N$2:$N$300)</f>
        <v>0</v>
      </c>
      <c r="L29" s="13">
        <f>SUMIF(Mercado_Receita!$T$2:$T$300,"44531B2Energia convencionalRuralServiço público de irrigação ruralNão se aplicaNão se aplicaNão se aplica",Mercado_Receita!$N$2:$N$300)</f>
        <v>0</v>
      </c>
      <c r="M29" s="13">
        <f>SUMIF(Mercado_Receita!$T$2:$T$300,"44562B2Energia convencionalRuralServiço público de irrigação ruralNão se aplicaNão se aplicaNão se aplica",Mercado_Receita!$N$2:$N$300)</f>
        <v>0</v>
      </c>
      <c r="N29" s="13">
        <f>SUMIF(Mercado_Receita!$T$2:$T$300,"44593B2Energia convencionalRuralServiço público de irrigação ruralNão se aplicaNão se aplicaNão se aplica",Mercado_Receita!$N$2:$N$300)</f>
        <v>0</v>
      </c>
      <c r="O29" s="13">
        <f>SUMIF(Mercado_Receita!$T$2:$T$300,"44621B2Energia convencionalRuralServiço público de irrigação ruralNão se aplicaNão se aplicaNão se aplica",Mercado_Receita!$N$2:$N$300)</f>
        <v>0</v>
      </c>
      <c r="P29" s="13">
        <f>SUMIF(Mercado_Receita!$T$2:$T$300,"44652B2Energia convencionalRuralServiço público de irrigação ruralNão se aplicaNão se aplicaNão se aplica",Mercado_Receita!$N$2:$N$300)</f>
        <v>0</v>
      </c>
      <c r="Q29" s="13">
        <f>SUMIF(Mercado_Receita!$T$2:$T$300,"44682B2Energia convencionalRuralServiço público de irrigação ruralNão se aplicaNão se aplicaNão se aplica",Mercado_Receita!$N$2:$N$300)</f>
        <v>0</v>
      </c>
      <c r="R29" s="13">
        <f>SUMIF(Mercado_Receita!$T$2:$T$300,"44713B2Energia convencionalRuralServiço público de irrigação ruralNão se aplicaNão se aplicaNão se aplica",Mercado_Receita!$N$2:$N$300)</f>
        <v>0</v>
      </c>
      <c r="S29" s="13">
        <f>SUMIF(Mercado_Receita!$T$2:$T$300,"44743B2Energia convencionalRuralServiço público de irrigação ruralNão se aplicaNão se aplicaNão se aplica",Mercado_Receita!$N$2:$N$300)</f>
        <v>0</v>
      </c>
      <c r="T29" s="13">
        <f>SUMIF(Mercado_Receita!$T$2:$T$300,"44774B2Energia convencionalRuralServiço público de irrigação ruralNão se aplicaNão se aplicaNão se aplica",Mercado_Receita!$N$2:$N$300)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82"/>
      <c r="B30" s="81" t="s">
        <v>83</v>
      </c>
      <c r="C30" s="81" t="s">
        <v>42</v>
      </c>
      <c r="D30" s="12" t="s">
        <v>25</v>
      </c>
      <c r="E30" s="12" t="s">
        <v>25</v>
      </c>
      <c r="F30" s="12" t="s">
        <v>25</v>
      </c>
      <c r="G30" s="13" t="s">
        <v>72</v>
      </c>
      <c r="H30" s="13" t="s">
        <v>68</v>
      </c>
      <c r="I30" s="13">
        <f>SUMIF(Mercado_Receita!$T$2:$T$300,"44440B2Energia convencional pré-pagamentoRuralNão se aplicaNão se aplicaNão se aplicaNão se aplica",Mercado_Receita!$N$2:$N$300)</f>
        <v>0</v>
      </c>
      <c r="J30" s="13">
        <f>SUMIF(Mercado_Receita!$T$2:$T$300,"44470B2Energia convencional pré-pagamentoRuralNão se aplicaNão se aplicaNão se aplicaNão se aplica",Mercado_Receita!$N$2:$N$300)</f>
        <v>0</v>
      </c>
      <c r="K30" s="13">
        <f>SUMIF(Mercado_Receita!$T$2:$T$300,"44501B2Energia convencional pré-pagamentoRuralNão se aplicaNão se aplicaNão se aplicaNão se aplica",Mercado_Receita!$N$2:$N$300)</f>
        <v>0</v>
      </c>
      <c r="L30" s="13">
        <f>SUMIF(Mercado_Receita!$T$2:$T$300,"44531B2Energia convencional pré-pagamentoRuralNão se aplicaNão se aplicaNão se aplicaNão se aplica",Mercado_Receita!$N$2:$N$300)</f>
        <v>0</v>
      </c>
      <c r="M30" s="13">
        <f>SUMIF(Mercado_Receita!$T$2:$T$300,"44562B2Energia convencional pré-pagamentoRuralNão se aplicaNão se aplicaNão se aplicaNão se aplica",Mercado_Receita!$N$2:$N$300)</f>
        <v>0</v>
      </c>
      <c r="N30" s="13">
        <f>SUMIF(Mercado_Receita!$T$2:$T$300,"44593B2Energia convencional pré-pagamentoRuralNão se aplicaNão se aplicaNão se aplicaNão se aplica",Mercado_Receita!$N$2:$N$300)</f>
        <v>0</v>
      </c>
      <c r="O30" s="13">
        <f>SUMIF(Mercado_Receita!$T$2:$T$300,"44621B2Energia convencional pré-pagamentoRuralNão se aplicaNão se aplicaNão se aplicaNão se aplica",Mercado_Receita!$N$2:$N$300)</f>
        <v>0</v>
      </c>
      <c r="P30" s="13">
        <f>SUMIF(Mercado_Receita!$T$2:$T$300,"44652B2Energia convencional pré-pagamentoRuralNão se aplicaNão se aplicaNão se aplicaNão se aplica",Mercado_Receita!$N$2:$N$300)</f>
        <v>0</v>
      </c>
      <c r="Q30" s="13">
        <f>SUMIF(Mercado_Receita!$T$2:$T$300,"44682B2Energia convencional pré-pagamentoRuralNão se aplicaNão se aplicaNão se aplicaNão se aplica",Mercado_Receita!$N$2:$N$300)</f>
        <v>0</v>
      </c>
      <c r="R30" s="13">
        <f>SUMIF(Mercado_Receita!$T$2:$T$300,"44713B2Energia convencional pré-pagamentoRuralNão se aplicaNão se aplicaNão se aplicaNão se aplica",Mercado_Receita!$N$2:$N$300)</f>
        <v>0</v>
      </c>
      <c r="S30" s="13">
        <f>SUMIF(Mercado_Receita!$T$2:$T$300,"44743B2Energia convencional pré-pagamentoRuralNão se aplicaNão se aplicaNão se aplicaNão se aplica",Mercado_Receita!$N$2:$N$300)</f>
        <v>0</v>
      </c>
      <c r="T30" s="13">
        <f>SUMIF(Mercado_Receita!$T$2:$T$300,"44774B2Energia convencional pré-pagamentoRuralNão se aplicaNão se aplicaNão se aplicaNão se aplica",Mercado_Receita!$N$2:$N$300)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82"/>
      <c r="B31" s="82"/>
      <c r="C31" s="82"/>
      <c r="D31" s="12" t="s">
        <v>85</v>
      </c>
      <c r="E31" s="12" t="s">
        <v>25</v>
      </c>
      <c r="F31" s="12" t="s">
        <v>25</v>
      </c>
      <c r="G31" s="13" t="s">
        <v>72</v>
      </c>
      <c r="H31" s="13" t="s">
        <v>68</v>
      </c>
      <c r="I31" s="13">
        <f>SUMIF(Mercado_Receita!$T$2:$T$300,"44440B2Energia convencional pré-pagamentoRuralCooperativa de eletrificação ruralNão se aplicaNão se aplicaNão se aplica",Mercado_Receita!$N$2:$N$300)</f>
        <v>0</v>
      </c>
      <c r="J31" s="13">
        <f>SUMIF(Mercado_Receita!$T$2:$T$300,"44470B2Energia convencional pré-pagamentoRuralCooperativa de eletrificação ruralNão se aplicaNão se aplicaNão se aplica",Mercado_Receita!$N$2:$N$300)</f>
        <v>0</v>
      </c>
      <c r="K31" s="13">
        <f>SUMIF(Mercado_Receita!$T$2:$T$300,"44501B2Energia convencional pré-pagamentoRuralCooperativa de eletrificação ruralNão se aplicaNão se aplicaNão se aplica",Mercado_Receita!$N$2:$N$300)</f>
        <v>0</v>
      </c>
      <c r="L31" s="13">
        <f>SUMIF(Mercado_Receita!$T$2:$T$300,"44531B2Energia convencional pré-pagamentoRuralCooperativa de eletrificação ruralNão se aplicaNão se aplicaNão se aplica",Mercado_Receita!$N$2:$N$300)</f>
        <v>0</v>
      </c>
      <c r="M31" s="13">
        <f>SUMIF(Mercado_Receita!$T$2:$T$300,"44562B2Energia convencional pré-pagamentoRuralCooperativa de eletrificação ruralNão se aplicaNão se aplicaNão se aplica",Mercado_Receita!$N$2:$N$300)</f>
        <v>0</v>
      </c>
      <c r="N31" s="13">
        <f>SUMIF(Mercado_Receita!$T$2:$T$300,"44593B2Energia convencional pré-pagamentoRuralCooperativa de eletrificação ruralNão se aplicaNão se aplicaNão se aplica",Mercado_Receita!$N$2:$N$300)</f>
        <v>0</v>
      </c>
      <c r="O31" s="13">
        <f>SUMIF(Mercado_Receita!$T$2:$T$300,"44621B2Energia convencional pré-pagamentoRuralCooperativa de eletrificação ruralNão se aplicaNão se aplicaNão se aplica",Mercado_Receita!$N$2:$N$300)</f>
        <v>0</v>
      </c>
      <c r="P31" s="13">
        <f>SUMIF(Mercado_Receita!$T$2:$T$300,"44652B2Energia convencional pré-pagamentoRuralCooperativa de eletrificação ruralNão se aplicaNão se aplicaNão se aplica",Mercado_Receita!$N$2:$N$300)</f>
        <v>0</v>
      </c>
      <c r="Q31" s="13">
        <f>SUMIF(Mercado_Receita!$T$2:$T$300,"44682B2Energia convencional pré-pagamentoRuralCooperativa de eletrificação ruralNão se aplicaNão se aplicaNão se aplica",Mercado_Receita!$N$2:$N$300)</f>
        <v>0</v>
      </c>
      <c r="R31" s="13">
        <f>SUMIF(Mercado_Receita!$T$2:$T$300,"44713B2Energia convencional pré-pagamentoRuralCooperativa de eletrificação ruralNão se aplicaNão se aplicaNão se aplica",Mercado_Receita!$N$2:$N$300)</f>
        <v>0</v>
      </c>
      <c r="S31" s="13">
        <f>SUMIF(Mercado_Receita!$T$2:$T$300,"44743B2Energia convencional pré-pagamentoRuralCooperativa de eletrificação ruralNão se aplicaNão se aplicaNão se aplica",Mercado_Receita!$N$2:$N$300)</f>
        <v>0</v>
      </c>
      <c r="T31" s="13">
        <f>SUMIF(Mercado_Receita!$T$2:$T$300,"44774B2Energia convencional pré-pagamentoRuralCooperativa de eletrificação ruralNão se aplicaNão se aplicaNão se aplica",Mercado_Receita!$N$2:$N$300)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82"/>
      <c r="B32" s="82"/>
      <c r="C32" s="82"/>
      <c r="D32" s="12" t="s">
        <v>86</v>
      </c>
      <c r="E32" s="12" t="s">
        <v>25</v>
      </c>
      <c r="F32" s="12" t="s">
        <v>25</v>
      </c>
      <c r="G32" s="13" t="s">
        <v>72</v>
      </c>
      <c r="H32" s="13" t="s">
        <v>68</v>
      </c>
      <c r="I32" s="13">
        <f>SUMIF(Mercado_Receita!$T$2:$T$300,"44440B2Energia convencional pré-pagamentoRuralServiço público de irrigação ruralNão se aplicaNão se aplicaNão se aplica",Mercado_Receita!$N$2:$N$300)</f>
        <v>0</v>
      </c>
      <c r="J32" s="13">
        <f>SUMIF(Mercado_Receita!$T$2:$T$300,"44470B2Energia convencional pré-pagamentoRuralServiço público de irrigação ruralNão se aplicaNão se aplicaNão se aplica",Mercado_Receita!$N$2:$N$300)</f>
        <v>0</v>
      </c>
      <c r="K32" s="13">
        <f>SUMIF(Mercado_Receita!$T$2:$T$300,"44501B2Energia convencional pré-pagamentoRuralServiço público de irrigação ruralNão se aplicaNão se aplicaNão se aplica",Mercado_Receita!$N$2:$N$300)</f>
        <v>0</v>
      </c>
      <c r="L32" s="13">
        <f>SUMIF(Mercado_Receita!$T$2:$T$300,"44531B2Energia convencional pré-pagamentoRuralServiço público de irrigação ruralNão se aplicaNão se aplicaNão se aplica",Mercado_Receita!$N$2:$N$300)</f>
        <v>0</v>
      </c>
      <c r="M32" s="13">
        <f>SUMIF(Mercado_Receita!$T$2:$T$300,"44562B2Energia convencional pré-pagamentoRuralServiço público de irrigação ruralNão se aplicaNão se aplicaNão se aplica",Mercado_Receita!$N$2:$N$300)</f>
        <v>0</v>
      </c>
      <c r="N32" s="13">
        <f>SUMIF(Mercado_Receita!$T$2:$T$300,"44593B2Energia convencional pré-pagamentoRuralServiço público de irrigação ruralNão se aplicaNão se aplicaNão se aplica",Mercado_Receita!$N$2:$N$300)</f>
        <v>0</v>
      </c>
      <c r="O32" s="13">
        <f>SUMIF(Mercado_Receita!$T$2:$T$300,"44621B2Energia convencional pré-pagamentoRuralServiço público de irrigação ruralNão se aplicaNão se aplicaNão se aplica",Mercado_Receita!$N$2:$N$300)</f>
        <v>0</v>
      </c>
      <c r="P32" s="13">
        <f>SUMIF(Mercado_Receita!$T$2:$T$300,"44652B2Energia convencional pré-pagamentoRuralServiço público de irrigação ruralNão se aplicaNão se aplicaNão se aplica",Mercado_Receita!$N$2:$N$300)</f>
        <v>0</v>
      </c>
      <c r="Q32" s="13">
        <f>SUMIF(Mercado_Receita!$T$2:$T$300,"44682B2Energia convencional pré-pagamentoRuralServiço público de irrigação ruralNão se aplicaNão se aplicaNão se aplica",Mercado_Receita!$N$2:$N$300)</f>
        <v>0</v>
      </c>
      <c r="R32" s="13">
        <f>SUMIF(Mercado_Receita!$T$2:$T$300,"44713B2Energia convencional pré-pagamentoRuralServiço público de irrigação ruralNão se aplicaNão se aplicaNão se aplica",Mercado_Receita!$N$2:$N$300)</f>
        <v>0</v>
      </c>
      <c r="S32" s="13">
        <f>SUMIF(Mercado_Receita!$T$2:$T$300,"44743B2Energia convencional pré-pagamentoRuralServiço público de irrigação ruralNão se aplicaNão se aplicaNão se aplica",Mercado_Receita!$N$2:$N$300)</f>
        <v>0</v>
      </c>
      <c r="T32" s="13">
        <f>SUMIF(Mercado_Receita!$T$2:$T$300,"44774B2Energia convencional pré-pagamentoRuralServiço público de irrigação ruralNão se aplicaNão se aplicaNão se aplica",Mercado_Receita!$N$2:$N$300)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81" t="s">
        <v>36</v>
      </c>
      <c r="B33" s="81" t="s">
        <v>67</v>
      </c>
      <c r="C33" s="81" t="s">
        <v>25</v>
      </c>
      <c r="D33" s="81" t="s">
        <v>25</v>
      </c>
      <c r="E33" s="81" t="s">
        <v>25</v>
      </c>
      <c r="F33" s="81" t="s">
        <v>25</v>
      </c>
      <c r="G33" s="13" t="s">
        <v>69</v>
      </c>
      <c r="H33" s="13" t="s">
        <v>68</v>
      </c>
      <c r="I33" s="13">
        <f>SUMIF(Mercado_Receita!$T$2:$T$300,"44440B3Energia horáriaNão se aplicaNão se aplicaNão se aplicaNão se aplicaPonta",Mercado_Receita!$N$2:$N$300)</f>
        <v>0</v>
      </c>
      <c r="J33" s="13">
        <f>SUMIF(Mercado_Receita!$T$2:$T$300,"44470B3Energia horáriaNão se aplicaNão se aplicaNão se aplicaNão se aplicaPonta",Mercado_Receita!$N$2:$N$300)</f>
        <v>0</v>
      </c>
      <c r="K33" s="13">
        <f>SUMIF(Mercado_Receita!$T$2:$T$300,"44501B3Energia horáriaNão se aplicaNão se aplicaNão se aplicaNão se aplicaPonta",Mercado_Receita!$N$2:$N$300)</f>
        <v>0</v>
      </c>
      <c r="L33" s="13">
        <f>SUMIF(Mercado_Receita!$T$2:$T$300,"44531B3Energia horáriaNão se aplicaNão se aplicaNão se aplicaNão se aplicaPonta",Mercado_Receita!$N$2:$N$300)</f>
        <v>0</v>
      </c>
      <c r="M33" s="13">
        <f>SUMIF(Mercado_Receita!$T$2:$T$300,"44562B3Energia horáriaNão se aplicaNão se aplicaNão se aplicaNão se aplicaPonta",Mercado_Receita!$N$2:$N$300)</f>
        <v>0</v>
      </c>
      <c r="N33" s="13">
        <f>SUMIF(Mercado_Receita!$T$2:$T$300,"44593B3Energia horáriaNão se aplicaNão se aplicaNão se aplicaNão se aplicaPonta",Mercado_Receita!$N$2:$N$300)</f>
        <v>0</v>
      </c>
      <c r="O33" s="13">
        <f>SUMIF(Mercado_Receita!$T$2:$T$300,"44621B3Energia horáriaNão se aplicaNão se aplicaNão se aplicaNão se aplicaPonta",Mercado_Receita!$N$2:$N$300)</f>
        <v>0</v>
      </c>
      <c r="P33" s="13">
        <f>SUMIF(Mercado_Receita!$T$2:$T$300,"44652B3Energia horáriaNão se aplicaNão se aplicaNão se aplicaNão se aplicaPonta",Mercado_Receita!$N$2:$N$300)</f>
        <v>0</v>
      </c>
      <c r="Q33" s="13">
        <f>SUMIF(Mercado_Receita!$T$2:$T$300,"44682B3Energia horáriaNão se aplicaNão se aplicaNão se aplicaNão se aplicaPonta",Mercado_Receita!$N$2:$N$300)</f>
        <v>0</v>
      </c>
      <c r="R33" s="13">
        <f>SUMIF(Mercado_Receita!$T$2:$T$300,"44713B3Energia horáriaNão se aplicaNão se aplicaNão se aplicaNão se aplicaPonta",Mercado_Receita!$N$2:$N$300)</f>
        <v>0</v>
      </c>
      <c r="S33" s="13">
        <f>SUMIF(Mercado_Receita!$T$2:$T$300,"44743B3Energia horáriaNão se aplicaNão se aplicaNão se aplicaNão se aplicaPonta",Mercado_Receita!$N$2:$N$300)</f>
        <v>0</v>
      </c>
      <c r="T33" s="13">
        <f>SUMIF(Mercado_Receita!$T$2:$T$300,"44774B3Energia horáriaNão se aplicaNão se aplicaNão se aplicaNão se aplicaPonta",Mercado_Receita!$N$2:$N$300)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82"/>
      <c r="B34" s="82"/>
      <c r="C34" s="82"/>
      <c r="D34" s="82"/>
      <c r="E34" s="82"/>
      <c r="F34" s="82"/>
      <c r="G34" s="13" t="s">
        <v>82</v>
      </c>
      <c r="H34" s="13" t="s">
        <v>68</v>
      </c>
      <c r="I34" s="13">
        <f>SUMIF(Mercado_Receita!$T$2:$T$300,"44440B3Energia horáriaNão se aplicaNão se aplicaNão se aplicaNão se aplicaIntermediário",Mercado_Receita!$N$2:$N$300)</f>
        <v>0</v>
      </c>
      <c r="J34" s="13">
        <f>SUMIF(Mercado_Receita!$T$2:$T$300,"44470B3Energia horáriaNão se aplicaNão se aplicaNão se aplicaNão se aplicaIntermediário",Mercado_Receita!$N$2:$N$300)</f>
        <v>0</v>
      </c>
      <c r="K34" s="13">
        <f>SUMIF(Mercado_Receita!$T$2:$T$300,"44501B3Energia horáriaNão se aplicaNão se aplicaNão se aplicaNão se aplicaIntermediário",Mercado_Receita!$N$2:$N$300)</f>
        <v>0</v>
      </c>
      <c r="L34" s="13">
        <f>SUMIF(Mercado_Receita!$T$2:$T$300,"44531B3Energia horáriaNão se aplicaNão se aplicaNão se aplicaNão se aplicaIntermediário",Mercado_Receita!$N$2:$N$300)</f>
        <v>0</v>
      </c>
      <c r="M34" s="13">
        <f>SUMIF(Mercado_Receita!$T$2:$T$300,"44562B3Energia horáriaNão se aplicaNão se aplicaNão se aplicaNão se aplicaIntermediário",Mercado_Receita!$N$2:$N$300)</f>
        <v>0</v>
      </c>
      <c r="N34" s="13">
        <f>SUMIF(Mercado_Receita!$T$2:$T$300,"44593B3Energia horáriaNão se aplicaNão se aplicaNão se aplicaNão se aplicaIntermediário",Mercado_Receita!$N$2:$N$300)</f>
        <v>0</v>
      </c>
      <c r="O34" s="13">
        <f>SUMIF(Mercado_Receita!$T$2:$T$300,"44621B3Energia horáriaNão se aplicaNão se aplicaNão se aplicaNão se aplicaIntermediário",Mercado_Receita!$N$2:$N$300)</f>
        <v>0</v>
      </c>
      <c r="P34" s="13">
        <f>SUMIF(Mercado_Receita!$T$2:$T$300,"44652B3Energia horáriaNão se aplicaNão se aplicaNão se aplicaNão se aplicaIntermediário",Mercado_Receita!$N$2:$N$300)</f>
        <v>0</v>
      </c>
      <c r="Q34" s="13">
        <f>SUMIF(Mercado_Receita!$T$2:$T$300,"44682B3Energia horáriaNão se aplicaNão se aplicaNão se aplicaNão se aplicaIntermediário",Mercado_Receita!$N$2:$N$300)</f>
        <v>0</v>
      </c>
      <c r="R34" s="13">
        <f>SUMIF(Mercado_Receita!$T$2:$T$300,"44713B3Energia horáriaNão se aplicaNão se aplicaNão se aplicaNão se aplicaIntermediário",Mercado_Receita!$N$2:$N$300)</f>
        <v>0</v>
      </c>
      <c r="S34" s="13">
        <f>SUMIF(Mercado_Receita!$T$2:$T$300,"44743B3Energia horáriaNão se aplicaNão se aplicaNão se aplicaNão se aplicaIntermediário",Mercado_Receita!$N$2:$N$300)</f>
        <v>0</v>
      </c>
      <c r="T34" s="13">
        <f>SUMIF(Mercado_Receita!$T$2:$T$300,"44774B3Energia horáriaNão se aplicaNão se aplicaNão se aplicaNão se aplicaIntermediário",Mercado_Receita!$N$2:$N$300)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82"/>
      <c r="B35" s="82"/>
      <c r="C35" s="82"/>
      <c r="D35" s="82"/>
      <c r="E35" s="82"/>
      <c r="F35" s="82"/>
      <c r="G35" s="13" t="s">
        <v>70</v>
      </c>
      <c r="H35" s="13" t="s">
        <v>68</v>
      </c>
      <c r="I35" s="13">
        <f>SUMIF(Mercado_Receita!$T$2:$T$300,"44440B3Energia horáriaNão se aplicaNão se aplicaNão se aplicaNão se aplicaFora ponta",Mercado_Receita!$N$2:$N$300)</f>
        <v>0</v>
      </c>
      <c r="J35" s="13">
        <f>SUMIF(Mercado_Receita!$T$2:$T$300,"44470B3Energia horáriaNão se aplicaNão se aplicaNão se aplicaNão se aplicaFora ponta",Mercado_Receita!$N$2:$N$300)</f>
        <v>0</v>
      </c>
      <c r="K35" s="13">
        <f>SUMIF(Mercado_Receita!$T$2:$T$300,"44501B3Energia horáriaNão se aplicaNão se aplicaNão se aplicaNão se aplicaFora ponta",Mercado_Receita!$N$2:$N$300)</f>
        <v>0</v>
      </c>
      <c r="L35" s="13">
        <f>SUMIF(Mercado_Receita!$T$2:$T$300,"44531B3Energia horáriaNão se aplicaNão se aplicaNão se aplicaNão se aplicaFora ponta",Mercado_Receita!$N$2:$N$300)</f>
        <v>0</v>
      </c>
      <c r="M35" s="13">
        <f>SUMIF(Mercado_Receita!$T$2:$T$300,"44562B3Energia horáriaNão se aplicaNão se aplicaNão se aplicaNão se aplicaFora ponta",Mercado_Receita!$N$2:$N$300)</f>
        <v>0</v>
      </c>
      <c r="N35" s="13">
        <f>SUMIF(Mercado_Receita!$T$2:$T$300,"44593B3Energia horáriaNão se aplicaNão se aplicaNão se aplicaNão se aplicaFora ponta",Mercado_Receita!$N$2:$N$300)</f>
        <v>0</v>
      </c>
      <c r="O35" s="13">
        <f>SUMIF(Mercado_Receita!$T$2:$T$300,"44621B3Energia horáriaNão se aplicaNão se aplicaNão se aplicaNão se aplicaFora ponta",Mercado_Receita!$N$2:$N$300)</f>
        <v>0</v>
      </c>
      <c r="P35" s="13">
        <f>SUMIF(Mercado_Receita!$T$2:$T$300,"44652B3Energia horáriaNão se aplicaNão se aplicaNão se aplicaNão se aplicaFora ponta",Mercado_Receita!$N$2:$N$300)</f>
        <v>0</v>
      </c>
      <c r="Q35" s="13">
        <f>SUMIF(Mercado_Receita!$T$2:$T$300,"44682B3Energia horáriaNão se aplicaNão se aplicaNão se aplicaNão se aplicaFora ponta",Mercado_Receita!$N$2:$N$300)</f>
        <v>0</v>
      </c>
      <c r="R35" s="13">
        <f>SUMIF(Mercado_Receita!$T$2:$T$300,"44713B3Energia horáriaNão se aplicaNão se aplicaNão se aplicaNão se aplicaFora ponta",Mercado_Receita!$N$2:$N$300)</f>
        <v>0</v>
      </c>
      <c r="S35" s="13">
        <f>SUMIF(Mercado_Receita!$T$2:$T$300,"44743B3Energia horáriaNão se aplicaNão se aplicaNão se aplicaNão se aplicaFora ponta",Mercado_Receita!$N$2:$N$300)</f>
        <v>0</v>
      </c>
      <c r="T35" s="13">
        <f>SUMIF(Mercado_Receita!$T$2:$T$300,"44774B3Energia horáriaNão se aplicaNão se aplicaNão se aplicaNão se aplicaFora ponta",Mercado_Receita!$N$2:$N$300)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82"/>
      <c r="B36" s="12" t="s">
        <v>71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72</v>
      </c>
      <c r="H36" s="13" t="s">
        <v>68</v>
      </c>
      <c r="I36" s="13">
        <f>SUMIF(Mercado_Receita!$T$2:$T$300,"44440B3Energia convencionalNão se aplicaNão se aplicaNão se aplicaNão se aplicaNão se aplica",Mercado_Receita!$N$2:$N$300)</f>
        <v>49.334000000000003</v>
      </c>
      <c r="J36" s="13">
        <f>SUMIF(Mercado_Receita!$T$2:$T$300,"44470B3Energia convencionalNão se aplicaNão se aplicaNão se aplicaNão se aplicaNão se aplica",Mercado_Receita!$N$2:$N$300)</f>
        <v>50.281000000000006</v>
      </c>
      <c r="K36" s="13">
        <f>SUMIF(Mercado_Receita!$T$2:$T$300,"44501B3Energia convencionalNão se aplicaNão se aplicaNão se aplicaNão se aplicaNão se aplica",Mercado_Receita!$N$2:$N$300)</f>
        <v>47.863</v>
      </c>
      <c r="L36" s="13">
        <f>SUMIF(Mercado_Receita!$T$2:$T$300,"44531B3Energia convencionalNão se aplicaNão se aplicaNão se aplicaNão se aplicaNão se aplica",Mercado_Receita!$N$2:$N$300)</f>
        <v>50.364000000000004</v>
      </c>
      <c r="M36" s="13">
        <f>SUMIF(Mercado_Receita!$T$2:$T$300,"44562B3Energia convencionalNão se aplicaNão se aplicaNão se aplicaNão se aplicaNão se aplica",Mercado_Receita!$N$2:$N$300)</f>
        <v>64.054000000000002</v>
      </c>
      <c r="N36" s="13">
        <f>SUMIF(Mercado_Receita!$T$2:$T$300,"44593B3Energia convencionalNão se aplicaNão se aplicaNão se aplicaNão se aplicaNão se aplica",Mercado_Receita!$N$2:$N$300)</f>
        <v>53.697000000000003</v>
      </c>
      <c r="O36" s="13">
        <f>SUMIF(Mercado_Receita!$T$2:$T$300,"44621B3Energia convencionalNão se aplicaNão se aplicaNão se aplicaNão se aplicaNão se aplica",Mercado_Receita!$N$2:$N$300)</f>
        <v>51.793999999999997</v>
      </c>
      <c r="P36" s="13">
        <f>SUMIF(Mercado_Receita!$T$2:$T$300,"44652B3Energia convencionalNão se aplicaNão se aplicaNão se aplicaNão se aplicaNão se aplica",Mercado_Receita!$N$2:$N$300)</f>
        <v>65.251000000000005</v>
      </c>
      <c r="Q36" s="13">
        <f>SUMIF(Mercado_Receita!$T$2:$T$300,"44682B3Energia convencionalNão se aplicaNão se aplicaNão se aplicaNão se aplicaNão se aplica",Mercado_Receita!$N$2:$N$300)</f>
        <v>63.838999999999999</v>
      </c>
      <c r="R36" s="13">
        <f>SUMIF(Mercado_Receita!$T$2:$T$300,"44713B3Energia convencionalNão se aplicaNão se aplicaNão se aplicaNão se aplicaNão se aplica",Mercado_Receita!$N$2:$N$300)</f>
        <v>42.963999999999999</v>
      </c>
      <c r="S36" s="13">
        <f>SUMIF(Mercado_Receita!$T$2:$T$300,"44743B3Energia convencionalNão se aplicaNão se aplicaNão se aplicaNão se aplicaNão se aplica",Mercado_Receita!$N$2:$N$300)</f>
        <v>51.498999999999995</v>
      </c>
      <c r="T36" s="13">
        <f>SUMIF(Mercado_Receita!$T$2:$T$300,"44774B3Energia convencionalNão se aplicaNão se aplicaNão se aplicaNão se aplicaNão se aplica",Mercado_Receita!$N$2:$N$300)</f>
        <v>52.515999999999998</v>
      </c>
      <c r="U36" s="13">
        <f t="shared" si="0"/>
        <v>643.45600000000002</v>
      </c>
      <c r="V36" s="13"/>
      <c r="W36" s="13"/>
    </row>
    <row r="37" spans="1:23" ht="11.25" customHeight="1" x14ac:dyDescent="0.3">
      <c r="A37" s="82"/>
      <c r="B37" s="12" t="s">
        <v>83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72</v>
      </c>
      <c r="H37" s="13" t="s">
        <v>68</v>
      </c>
      <c r="I37" s="13">
        <f>SUMIF(Mercado_Receita!$T$2:$T$300,"44440B3Energia convencional pré-pagamentoNão se aplicaNão se aplicaNão se aplicaNão se aplicaNão se aplica",Mercado_Receita!$N$2:$N$300)</f>
        <v>0</v>
      </c>
      <c r="J37" s="13">
        <f>SUMIF(Mercado_Receita!$T$2:$T$300,"44470B3Energia convencional pré-pagamentoNão se aplicaNão se aplicaNão se aplicaNão se aplicaNão se aplica",Mercado_Receita!$N$2:$N$300)</f>
        <v>0</v>
      </c>
      <c r="K37" s="13">
        <f>SUMIF(Mercado_Receita!$T$2:$T$300,"44501B3Energia convencional pré-pagamentoNão se aplicaNão se aplicaNão se aplicaNão se aplicaNão se aplica",Mercado_Receita!$N$2:$N$300)</f>
        <v>0</v>
      </c>
      <c r="L37" s="13">
        <f>SUMIF(Mercado_Receita!$T$2:$T$300,"44531B3Energia convencional pré-pagamentoNão se aplicaNão se aplicaNão se aplicaNão se aplicaNão se aplica",Mercado_Receita!$N$2:$N$300)</f>
        <v>0</v>
      </c>
      <c r="M37" s="13">
        <f>SUMIF(Mercado_Receita!$T$2:$T$300,"44562B3Energia convencional pré-pagamentoNão se aplicaNão se aplicaNão se aplicaNão se aplicaNão se aplica",Mercado_Receita!$N$2:$N$300)</f>
        <v>0</v>
      </c>
      <c r="N37" s="13">
        <f>SUMIF(Mercado_Receita!$T$2:$T$300,"44593B3Energia convencional pré-pagamentoNão se aplicaNão se aplicaNão se aplicaNão se aplicaNão se aplica",Mercado_Receita!$N$2:$N$300)</f>
        <v>0</v>
      </c>
      <c r="O37" s="13">
        <f>SUMIF(Mercado_Receita!$T$2:$T$300,"44621B3Energia convencional pré-pagamentoNão se aplicaNão se aplicaNão se aplicaNão se aplicaNão se aplica",Mercado_Receita!$N$2:$N$300)</f>
        <v>0</v>
      </c>
      <c r="P37" s="13">
        <f>SUMIF(Mercado_Receita!$T$2:$T$300,"44652B3Energia convencional pré-pagamentoNão se aplicaNão se aplicaNão se aplicaNão se aplicaNão se aplica",Mercado_Receita!$N$2:$N$300)</f>
        <v>0</v>
      </c>
      <c r="Q37" s="13">
        <f>SUMIF(Mercado_Receita!$T$2:$T$300,"44682B3Energia convencional pré-pagamentoNão se aplicaNão se aplicaNão se aplicaNão se aplicaNão se aplica",Mercado_Receita!$N$2:$N$300)</f>
        <v>0</v>
      </c>
      <c r="R37" s="13">
        <f>SUMIF(Mercado_Receita!$T$2:$T$300,"44713B3Energia convencional pré-pagamentoNão se aplicaNão se aplicaNão se aplicaNão se aplicaNão se aplica",Mercado_Receita!$N$2:$N$300)</f>
        <v>0</v>
      </c>
      <c r="S37" s="13">
        <f>SUMIF(Mercado_Receita!$T$2:$T$300,"44743B3Energia convencional pré-pagamentoNão se aplicaNão se aplicaNão se aplicaNão se aplicaNão se aplica",Mercado_Receita!$N$2:$N$300)</f>
        <v>0</v>
      </c>
      <c r="T37" s="13">
        <f>SUMIF(Mercado_Receita!$T$2:$T$300,"44774B3Energia convencional pré-pagamentoNão se aplicaNão se aplicaNão se aplicaNão se aplicaNão se aplica",Mercado_Receita!$N$2:$N$300)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81" t="s">
        <v>44</v>
      </c>
      <c r="B38" s="81" t="s">
        <v>71</v>
      </c>
      <c r="C38" s="81" t="s">
        <v>45</v>
      </c>
      <c r="D38" s="12" t="s">
        <v>46</v>
      </c>
      <c r="E38" s="12" t="s">
        <v>25</v>
      </c>
      <c r="F38" s="12" t="s">
        <v>25</v>
      </c>
      <c r="G38" s="13" t="s">
        <v>72</v>
      </c>
      <c r="H38" s="13" t="s">
        <v>68</v>
      </c>
      <c r="I38" s="13">
        <f>SUMIF(Mercado_Receita!$T$2:$T$300,"44440B4Energia convencionalIluminação públicaIluminação pública – B4aNão se aplicaNão se aplicaNão se aplica",Mercado_Receita!$N$2:$N$300)</f>
        <v>43.204999999999998</v>
      </c>
      <c r="J38" s="13">
        <f>SUMIF(Mercado_Receita!$T$2:$T$300,"44470B4Energia convencionalIluminação públicaIluminação pública – B4aNão se aplicaNão se aplicaNão se aplica",Mercado_Receita!$N$2:$N$300)</f>
        <v>44.646999999999998</v>
      </c>
      <c r="K38" s="13">
        <f>SUMIF(Mercado_Receita!$T$2:$T$300,"44501B4Energia convencionalIluminação públicaIluminação pública – B4aNão se aplicaNão se aplicaNão se aplica",Mercado_Receita!$N$2:$N$300)</f>
        <v>45.448</v>
      </c>
      <c r="L38" s="13">
        <f>SUMIF(Mercado_Receita!$T$2:$T$300,"44531B4Energia convencionalIluminação públicaIluminação pública – B4aNão se aplicaNão se aplicaNão se aplica",Mercado_Receita!$N$2:$N$300)</f>
        <v>46.963999999999999</v>
      </c>
      <c r="M38" s="13">
        <f>SUMIF(Mercado_Receita!$T$2:$T$300,"44562B4Energia convencionalIluminação públicaIluminação pública – B4aNão se aplicaNão se aplicaNão se aplica",Mercado_Receita!$N$2:$N$300)</f>
        <v>46.963999999999999</v>
      </c>
      <c r="N38" s="13">
        <f>SUMIF(Mercado_Receita!$T$2:$T$300,"44593B4Energia convencionalIluminação públicaIluminação pública – B4aNão se aplicaNão se aplicaNão se aplica",Mercado_Receita!$N$2:$N$300)</f>
        <v>43.518000000000001</v>
      </c>
      <c r="O38" s="13">
        <f>SUMIF(Mercado_Receita!$T$2:$T$300,"44621B4Energia convencionalIluminação públicaIluminação pública – B4aNão se aplicaNão se aplicaNão se aplica",Mercado_Receita!$N$2:$N$300)</f>
        <v>46.963999999999999</v>
      </c>
      <c r="P38" s="13">
        <f>SUMIF(Mercado_Receita!$T$2:$T$300,"44652B4Energia convencionalIluminação públicaIluminação pública – B4aNão se aplicaNão se aplicaNão se aplica",Mercado_Receita!$N$2:$N$300)</f>
        <v>42.676000000000002</v>
      </c>
      <c r="Q38" s="13">
        <f>SUMIF(Mercado_Receita!$T$2:$T$300,"44682B4Energia convencionalIluminação públicaIluminação pública – B4aNão se aplicaNão se aplicaNão se aplica",Mercado_Receita!$N$2:$N$300)</f>
        <v>46.963999999999999</v>
      </c>
      <c r="R38" s="13">
        <f>SUMIF(Mercado_Receita!$T$2:$T$300,"44713B4Energia convencionalIluminação públicaIluminação pública – B4aNão se aplicaNão se aplicaNão se aplica",Mercado_Receita!$N$2:$N$300)</f>
        <v>45.448</v>
      </c>
      <c r="S38" s="13">
        <f>SUMIF(Mercado_Receita!$T$2:$T$300,"44743B4Energia convencionalIluminação públicaIluminação pública – B4aNão se aplicaNão se aplicaNão se aplica",Mercado_Receita!$N$2:$N$300)</f>
        <v>46.963999999999999</v>
      </c>
      <c r="T38" s="13">
        <f>SUMIF(Mercado_Receita!$T$2:$T$300,"44774B4Energia convencionalIluminação públicaIluminação pública – B4aNão se aplicaNão se aplicaNão se aplica",Mercado_Receita!$N$2:$N$300)</f>
        <v>46.963999999999999</v>
      </c>
      <c r="U38" s="13">
        <f t="shared" si="0"/>
        <v>546.72599999999989</v>
      </c>
      <c r="V38" s="13"/>
      <c r="W38" s="13"/>
    </row>
    <row r="39" spans="1:23" ht="11.25" customHeight="1" x14ac:dyDescent="0.3">
      <c r="A39" s="82"/>
      <c r="B39" s="82"/>
      <c r="C39" s="82"/>
      <c r="D39" s="13" t="s">
        <v>87</v>
      </c>
      <c r="E39" s="13" t="s">
        <v>25</v>
      </c>
      <c r="F39" s="13" t="s">
        <v>25</v>
      </c>
      <c r="G39" s="13" t="s">
        <v>72</v>
      </c>
      <c r="H39" s="13" t="s">
        <v>68</v>
      </c>
      <c r="I39" s="13">
        <f>SUMIF(Mercado_Receita!$T$2:$T$300,"44440B4Energia convencionalIluminação públicaIluminação pública – B4bNão se aplicaNão se aplicaNão se aplica",Mercado_Receita!$N$2:$N$300)</f>
        <v>0</v>
      </c>
      <c r="J39" s="13">
        <f>SUMIF(Mercado_Receita!$T$2:$T$300,"44470B4Energia convencionalIluminação públicaIluminação pública – B4bNão se aplicaNão se aplicaNão se aplica",Mercado_Receita!$N$2:$N$300)</f>
        <v>0</v>
      </c>
      <c r="K39" s="13">
        <f>SUMIF(Mercado_Receita!$T$2:$T$300,"44501B4Energia convencionalIluminação públicaIluminação pública – B4bNão se aplicaNão se aplicaNão se aplica",Mercado_Receita!$N$2:$N$300)</f>
        <v>0</v>
      </c>
      <c r="L39" s="13">
        <f>SUMIF(Mercado_Receita!$T$2:$T$300,"44531B4Energia convencionalIluminação públicaIluminação pública – B4bNão se aplicaNão se aplicaNão se aplica",Mercado_Receita!$N$2:$N$300)</f>
        <v>0</v>
      </c>
      <c r="M39" s="13">
        <f>SUMIF(Mercado_Receita!$T$2:$T$300,"44562B4Energia convencionalIluminação públicaIluminação pública – B4bNão se aplicaNão se aplicaNão se aplica",Mercado_Receita!$N$2:$N$300)</f>
        <v>0</v>
      </c>
      <c r="N39" s="13">
        <f>SUMIF(Mercado_Receita!$T$2:$T$300,"44593B4Energia convencionalIluminação públicaIluminação pública – B4bNão se aplicaNão se aplicaNão se aplica",Mercado_Receita!$N$2:$N$300)</f>
        <v>0</v>
      </c>
      <c r="O39" s="13">
        <f>SUMIF(Mercado_Receita!$T$2:$T$300,"44621B4Energia convencionalIluminação públicaIluminação pública – B4bNão se aplicaNão se aplicaNão se aplica",Mercado_Receita!$N$2:$N$300)</f>
        <v>0</v>
      </c>
      <c r="P39" s="13">
        <f>SUMIF(Mercado_Receita!$T$2:$T$300,"44652B4Energia convencionalIluminação públicaIluminação pública – B4bNão se aplicaNão se aplicaNão se aplica",Mercado_Receita!$N$2:$N$300)</f>
        <v>0</v>
      </c>
      <c r="Q39" s="13">
        <f>SUMIF(Mercado_Receita!$T$2:$T$300,"44682B4Energia convencionalIluminação públicaIluminação pública – B4bNão se aplicaNão se aplicaNão se aplica",Mercado_Receita!$N$2:$N$300)</f>
        <v>0</v>
      </c>
      <c r="R39" s="13">
        <f>SUMIF(Mercado_Receita!$T$2:$T$300,"44713B4Energia convencionalIluminação públicaIluminação pública – B4bNão se aplicaNão se aplicaNão se aplica",Mercado_Receita!$N$2:$N$300)</f>
        <v>0</v>
      </c>
      <c r="S39" s="13">
        <f>SUMIF(Mercado_Receita!$T$2:$T$300,"44743B4Energia convencionalIluminação públicaIluminação pública – B4bNão se aplicaNão se aplicaNão se aplica",Mercado_Receita!$N$2:$N$300)</f>
        <v>0</v>
      </c>
      <c r="T39" s="13">
        <f>SUMIF(Mercado_Receita!$T$2:$T$300,"44774B4Energia convencionalIluminação públicaIluminação pública – B4bNão se aplicaNão se aplicaNão se aplica",Mercado_Receita!$N$2:$N$300)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83" t="s">
        <v>394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13"/>
      <c r="W40" s="13"/>
    </row>
  </sheetData>
  <mergeCells count="44">
    <mergeCell ref="A2:A4"/>
    <mergeCell ref="F2:F3"/>
    <mergeCell ref="E2:E3"/>
    <mergeCell ref="D2:D3"/>
    <mergeCell ref="C2:C3"/>
    <mergeCell ref="B2:B3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C22:C24"/>
    <mergeCell ref="B22:B24"/>
    <mergeCell ref="F26:F28"/>
    <mergeCell ref="E26:E28"/>
    <mergeCell ref="D26:D28"/>
    <mergeCell ref="C26:C28"/>
    <mergeCell ref="B26:B28"/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C4A-33C0-49E8-A5EA-CFD35A0DA9C3}">
  <dimension ref="A1:AD200"/>
  <sheetViews>
    <sheetView showGridLines="0" topLeftCell="A35" workbookViewId="0">
      <selection activeCell="H49" sqref="H49"/>
    </sheetView>
  </sheetViews>
  <sheetFormatPr defaultRowHeight="12" customHeight="1" x14ac:dyDescent="0.2"/>
  <cols>
    <col min="1" max="1" width="9.88671875" style="14" bestFit="1" customWidth="1"/>
    <col min="2" max="2" width="13.88671875" style="14" bestFit="1" customWidth="1"/>
    <col min="3" max="3" width="18.109375" style="14" bestFit="1" customWidth="1"/>
    <col min="4" max="4" width="14" style="14" bestFit="1" customWidth="1"/>
    <col min="5" max="5" width="13.88671875" style="14" bestFit="1" customWidth="1"/>
    <col min="6" max="6" width="3.77734375" style="14" bestFit="1" customWidth="1"/>
    <col min="7" max="7" width="8.88671875" style="14"/>
    <col min="8" max="8" width="10.77734375" style="14" bestFit="1" customWidth="1"/>
    <col min="9" max="11" width="8.88671875" style="14"/>
    <col min="12" max="12" width="31.44140625" style="14" bestFit="1" customWidth="1"/>
    <col min="13" max="13" width="9.109375" style="14" bestFit="1" customWidth="1"/>
    <col min="14" max="14" width="33.21875" style="14" bestFit="1" customWidth="1"/>
    <col min="15" max="15" width="30.77734375" style="14" customWidth="1"/>
    <col min="16" max="16" width="12.44140625" style="14" bestFit="1" customWidth="1"/>
    <col min="17" max="17" width="8.44140625" style="14" bestFit="1" customWidth="1"/>
    <col min="18" max="18" width="13.33203125" style="14" bestFit="1" customWidth="1"/>
    <col min="19" max="19" width="28.77734375" style="14" bestFit="1" customWidth="1"/>
    <col min="20" max="20" width="14.33203125" style="14" bestFit="1" customWidth="1"/>
    <col min="21" max="21" width="10.21875" style="14" bestFit="1" customWidth="1"/>
    <col min="22" max="22" width="12.5546875" style="14" bestFit="1" customWidth="1"/>
    <col min="23" max="23" width="5" style="14" bestFit="1" customWidth="1"/>
    <col min="24" max="24" width="51.88671875" style="14" bestFit="1" customWidth="1"/>
    <col min="25" max="26" width="5" style="14" bestFit="1" customWidth="1"/>
    <col min="27" max="27" width="2" style="14" bestFit="1" customWidth="1"/>
    <col min="28" max="16384" width="8.88671875" style="14"/>
  </cols>
  <sheetData>
    <row r="1" spans="1:30" ht="12" customHeight="1" x14ac:dyDescent="0.2">
      <c r="A1" s="10" t="s">
        <v>434</v>
      </c>
      <c r="B1" s="10" t="s">
        <v>435</v>
      </c>
      <c r="C1" s="10" t="s">
        <v>436</v>
      </c>
      <c r="D1" s="10" t="s">
        <v>437</v>
      </c>
      <c r="E1" s="10" t="s">
        <v>438</v>
      </c>
      <c r="F1" s="10" t="s">
        <v>439</v>
      </c>
      <c r="G1" s="7"/>
      <c r="H1" s="7"/>
      <c r="I1" s="7"/>
      <c r="J1" s="7"/>
      <c r="K1" s="7"/>
      <c r="L1" s="90" t="s">
        <v>440</v>
      </c>
      <c r="M1" s="90"/>
      <c r="N1" s="7"/>
      <c r="O1" s="94" t="s">
        <v>527</v>
      </c>
      <c r="P1" s="95"/>
      <c r="Q1" s="95"/>
      <c r="R1" s="95"/>
      <c r="S1" s="95"/>
      <c r="T1" s="95"/>
      <c r="U1" s="95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1" t="s">
        <v>395</v>
      </c>
      <c r="B2" s="91" t="s">
        <v>396</v>
      </c>
      <c r="C2" s="16" t="s">
        <v>481</v>
      </c>
      <c r="D2" s="13">
        <v>561638.5612703464</v>
      </c>
      <c r="E2" s="13">
        <v>-3474.370163392417</v>
      </c>
      <c r="F2" s="13">
        <v>0</v>
      </c>
      <c r="G2" s="15"/>
      <c r="H2" s="15"/>
      <c r="I2" s="15"/>
      <c r="J2" s="15"/>
      <c r="K2" s="15"/>
      <c r="L2" s="23" t="s">
        <v>441</v>
      </c>
      <c r="M2" s="66">
        <v>6.4000000000000001E-2</v>
      </c>
      <c r="N2" s="15"/>
      <c r="O2" s="28" t="s">
        <v>528</v>
      </c>
      <c r="P2" s="28" t="s">
        <v>529</v>
      </c>
      <c r="Q2" s="28" t="s">
        <v>530</v>
      </c>
      <c r="R2" s="28" t="s">
        <v>38</v>
      </c>
      <c r="S2" s="28" t="s">
        <v>531</v>
      </c>
      <c r="T2" s="28" t="s">
        <v>79</v>
      </c>
      <c r="U2" s="28"/>
      <c r="V2" s="15"/>
      <c r="W2" s="15"/>
      <c r="X2" s="23" t="s">
        <v>494</v>
      </c>
      <c r="Y2" s="15"/>
      <c r="Z2" s="15"/>
      <c r="AA2" s="15" t="s">
        <v>539</v>
      </c>
      <c r="AB2" s="15"/>
      <c r="AC2" s="15"/>
      <c r="AD2" s="15"/>
    </row>
    <row r="3" spans="1:30" ht="12" customHeight="1" x14ac:dyDescent="0.2">
      <c r="A3" s="92"/>
      <c r="B3" s="92"/>
      <c r="C3" s="16" t="s">
        <v>397</v>
      </c>
      <c r="D3" s="13">
        <v>32726.000289716503</v>
      </c>
      <c r="E3" s="13">
        <v>-230.23633007930752</v>
      </c>
      <c r="F3" s="13">
        <v>0</v>
      </c>
      <c r="G3" s="15"/>
      <c r="H3" s="15"/>
      <c r="I3" s="15"/>
      <c r="J3" s="15"/>
      <c r="K3" s="15"/>
      <c r="L3" s="23" t="s">
        <v>442</v>
      </c>
      <c r="M3" s="66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532</v>
      </c>
      <c r="V3" s="15"/>
      <c r="W3" s="15"/>
      <c r="X3" s="23" t="s">
        <v>495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2"/>
      <c r="B4" s="92"/>
      <c r="C4" s="16" t="s">
        <v>398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443</v>
      </c>
      <c r="M4" s="66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78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2"/>
      <c r="B5" s="92"/>
      <c r="C5" s="16" t="s">
        <v>399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444</v>
      </c>
      <c r="M5" s="66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2"/>
      <c r="B6" s="92"/>
      <c r="C6" s="16" t="s">
        <v>400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445</v>
      </c>
      <c r="M6" s="66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2"/>
      <c r="B7" s="92"/>
      <c r="C7" s="16" t="s">
        <v>401</v>
      </c>
      <c r="D7" s="13">
        <v>1744067.2510800003</v>
      </c>
      <c r="E7" s="13">
        <v>-7368.2249409820133</v>
      </c>
      <c r="F7" s="13">
        <v>0</v>
      </c>
      <c r="G7" s="15"/>
      <c r="H7" s="15"/>
      <c r="I7" s="15"/>
      <c r="J7" s="15"/>
      <c r="K7" s="15"/>
      <c r="L7" s="23" t="s">
        <v>446</v>
      </c>
      <c r="M7" s="23">
        <f>M8+M9+M10+M11</f>
        <v>1496.6436672719026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2"/>
      <c r="B8" s="92"/>
      <c r="C8" s="16" t="s">
        <v>402</v>
      </c>
      <c r="D8" s="13">
        <v>307176.84594000003</v>
      </c>
      <c r="E8" s="13">
        <v>-1404.9905913531622</v>
      </c>
      <c r="F8" s="13">
        <v>0</v>
      </c>
      <c r="G8" s="15"/>
      <c r="H8" s="15"/>
      <c r="I8" s="15"/>
      <c r="J8" s="15"/>
      <c r="K8" s="15"/>
      <c r="L8" s="67" t="s">
        <v>447</v>
      </c>
      <c r="M8" s="23">
        <v>1496.6436672719026</v>
      </c>
      <c r="N8" s="15"/>
      <c r="O8" s="23" t="s">
        <v>480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2"/>
      <c r="B9" s="92"/>
      <c r="C9" s="16" t="s">
        <v>403</v>
      </c>
      <c r="D9" s="13"/>
      <c r="E9" s="13"/>
      <c r="F9" s="13"/>
      <c r="G9" s="15"/>
      <c r="H9" s="15"/>
      <c r="I9" s="15"/>
      <c r="J9" s="15"/>
      <c r="K9" s="15"/>
      <c r="L9" s="68" t="s">
        <v>448</v>
      </c>
      <c r="M9" s="23">
        <v>0</v>
      </c>
      <c r="N9" s="15"/>
      <c r="O9" s="23" t="s">
        <v>485</v>
      </c>
      <c r="P9" s="29">
        <f>SUM(Mercado_Receita!$J$2:$J$300)</f>
        <v>35589</v>
      </c>
      <c r="Q9" s="29">
        <v>35589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2"/>
      <c r="B10" s="93"/>
      <c r="C10" s="16" t="s">
        <v>404</v>
      </c>
      <c r="D10" s="13">
        <f>SUM(D$2:D9)</f>
        <v>2645608.6585800634</v>
      </c>
      <c r="E10" s="13">
        <f>SUM(E$2:E9)</f>
        <v>-12477.8220258069</v>
      </c>
      <c r="F10" s="13">
        <f>SUM(F$2:F9)</f>
        <v>0</v>
      </c>
      <c r="G10" s="15"/>
      <c r="H10" s="15"/>
      <c r="I10" s="15"/>
      <c r="J10" s="15"/>
      <c r="K10" s="15"/>
      <c r="L10" s="67" t="s">
        <v>449</v>
      </c>
      <c r="M10" s="23">
        <v>0</v>
      </c>
      <c r="N10" s="15"/>
      <c r="O10" s="23" t="s">
        <v>486</v>
      </c>
      <c r="P10" s="29">
        <f>SUM(Mercado_Receita!$L$2:$L$300)</f>
        <v>22003.468000000004</v>
      </c>
      <c r="Q10" s="29">
        <v>22003.468000000001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2"/>
      <c r="B11" s="91" t="s">
        <v>405</v>
      </c>
      <c r="C11" s="16" t="s">
        <v>406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7" t="s">
        <v>450</v>
      </c>
      <c r="M11" s="23">
        <v>0</v>
      </c>
      <c r="N11" s="15"/>
      <c r="O11" s="23" t="s">
        <v>487</v>
      </c>
      <c r="P11" s="29">
        <f>SUM(Mercado_Receita!$N$2:$N$300)</f>
        <v>11101.366999999998</v>
      </c>
      <c r="Q11" s="29">
        <v>11101.367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2"/>
      <c r="B12" s="92"/>
      <c r="C12" s="16" t="s">
        <v>407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451</v>
      </c>
      <c r="M12" s="23">
        <v>12598.010667271907</v>
      </c>
      <c r="N12" s="15"/>
      <c r="O12" s="23" t="s">
        <v>488</v>
      </c>
      <c r="P12" s="29">
        <f>SUMIF('MERCADO TUSD'!$H$2:$H$48,"kW",'MERCADO TUSD'!$U$2:$U$48)</f>
        <v>35589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2"/>
      <c r="B13" s="92"/>
      <c r="C13" s="16" t="s">
        <v>408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452</v>
      </c>
      <c r="M13" s="23">
        <v>372.66056208124905</v>
      </c>
      <c r="N13" s="15"/>
      <c r="O13" s="23" t="s">
        <v>489</v>
      </c>
      <c r="P13" s="29">
        <f>SUMIF('MERCADO TUSD'!$H$2:$H$48,"MWh",'MERCADO TUSD'!$U$2:$U$48)</f>
        <v>22003.467999999993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2"/>
      <c r="B14" s="92"/>
      <c r="C14" s="16" t="s">
        <v>409</v>
      </c>
      <c r="D14" s="13"/>
      <c r="E14" s="13"/>
      <c r="F14" s="13"/>
      <c r="G14" s="15"/>
      <c r="H14" s="15"/>
      <c r="I14" s="15"/>
      <c r="J14" s="15"/>
      <c r="K14" s="15"/>
      <c r="L14" s="23" t="s">
        <v>453</v>
      </c>
      <c r="M14" s="23">
        <v>268.83520177034228</v>
      </c>
      <c r="N14" s="15"/>
      <c r="O14" s="23" t="s">
        <v>490</v>
      </c>
      <c r="P14" s="29">
        <f>SUMIF('MERCADO TE'!$H$2:$H$39,"MWh",'MERCADO TE'!$U$2:$U$39)</f>
        <v>11101.367000000002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2"/>
      <c r="B15" s="92"/>
      <c r="C15" s="16" t="s">
        <v>410</v>
      </c>
      <c r="D15" s="13">
        <v>2472691.1461900002</v>
      </c>
      <c r="E15" s="13">
        <v>85009.576954378659</v>
      </c>
      <c r="F15" s="13">
        <v>0</v>
      </c>
      <c r="G15" s="15"/>
      <c r="H15" s="15"/>
      <c r="I15" s="15"/>
      <c r="J15" s="15"/>
      <c r="K15" s="15"/>
      <c r="L15" s="23" t="s">
        <v>454</v>
      </c>
      <c r="M15" s="23">
        <f>M14*M12</f>
        <v>3386788.7396409675</v>
      </c>
      <c r="N15" s="15"/>
      <c r="O15" s="23" t="s">
        <v>491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2"/>
      <c r="B16" s="92"/>
      <c r="C16" s="16" t="s">
        <v>411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455</v>
      </c>
      <c r="M16" s="69">
        <v>-70447.856288029361</v>
      </c>
      <c r="N16" s="15"/>
      <c r="O16" s="23" t="s">
        <v>492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2"/>
      <c r="B17" s="92"/>
      <c r="C17" s="16" t="s">
        <v>412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456</v>
      </c>
      <c r="M17" s="23">
        <v>0</v>
      </c>
      <c r="N17" s="15"/>
      <c r="O17" s="23" t="s">
        <v>493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2"/>
      <c r="B18" s="93"/>
      <c r="C18" s="16" t="s">
        <v>404</v>
      </c>
      <c r="D18" s="13">
        <f>SUM(D$11:D17)</f>
        <v>2472691.1461900002</v>
      </c>
      <c r="E18" s="13">
        <f>SUM(E$11:E17)</f>
        <v>85009.576954378659</v>
      </c>
      <c r="F18" s="13">
        <f>SUM(F$11:F17)</f>
        <v>0</v>
      </c>
      <c r="G18" s="15"/>
      <c r="H18" s="15"/>
      <c r="I18" s="15"/>
      <c r="J18" s="15"/>
      <c r="K18" s="15"/>
      <c r="L18" s="23" t="s">
        <v>457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2"/>
      <c r="B19" s="91" t="s">
        <v>413</v>
      </c>
      <c r="C19" s="16" t="s">
        <v>414</v>
      </c>
      <c r="D19" s="13">
        <v>7218569.4400000004</v>
      </c>
      <c r="E19" s="13">
        <v>-3024752.7960253092</v>
      </c>
      <c r="F19" s="13">
        <v>0</v>
      </c>
      <c r="G19" s="15"/>
      <c r="H19" s="15"/>
      <c r="I19" s="15"/>
      <c r="J19" s="15"/>
      <c r="K19" s="15"/>
      <c r="L19" s="23" t="s">
        <v>458</v>
      </c>
      <c r="M19" s="23">
        <v>0</v>
      </c>
      <c r="N19" s="15"/>
      <c r="O19" s="64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2"/>
      <c r="B20" s="93"/>
      <c r="C20" s="16" t="s">
        <v>404</v>
      </c>
      <c r="D20" s="13">
        <f>SUM(D$19:D19)</f>
        <v>7218569.4400000004</v>
      </c>
      <c r="E20" s="13">
        <f>SUM(E$19:E19)</f>
        <v>-3024752.7960253092</v>
      </c>
      <c r="F20" s="13">
        <f>SUM(F$19:F19)</f>
        <v>0</v>
      </c>
      <c r="G20" s="15"/>
      <c r="H20" s="15"/>
      <c r="I20" s="15"/>
      <c r="J20" s="15"/>
      <c r="K20" s="15"/>
      <c r="L20" s="23" t="s">
        <v>459</v>
      </c>
      <c r="M20" s="23">
        <v>0</v>
      </c>
      <c r="N20" s="15"/>
      <c r="O20" s="63">
        <f ca="1">EFEITO!AV9</f>
        <v>0.13960279381483365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2"/>
      <c r="B21" s="91" t="s">
        <v>415</v>
      </c>
      <c r="C21" s="16" t="s">
        <v>416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460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2"/>
      <c r="B22" s="92"/>
      <c r="C22" s="16" t="s">
        <v>417</v>
      </c>
      <c r="D22" s="13"/>
      <c r="E22" s="13"/>
      <c r="F22" s="13"/>
      <c r="G22" s="15"/>
      <c r="H22" s="15"/>
      <c r="I22" s="15"/>
      <c r="J22" s="15"/>
      <c r="K22" s="15"/>
      <c r="L22" s="23" t="s">
        <v>482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2"/>
      <c r="B23" s="93"/>
      <c r="C23" s="16" t="s">
        <v>404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461</v>
      </c>
      <c r="M23" s="23">
        <v>13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2"/>
      <c r="B24" s="91" t="s">
        <v>418</v>
      </c>
      <c r="C24" s="16" t="s">
        <v>419</v>
      </c>
      <c r="D24" s="13">
        <f>$M$14*$M$8</f>
        <v>402350.50226934697</v>
      </c>
      <c r="E24" s="13">
        <f>$M$16*$M$8/$M$12</f>
        <v>-8369.2053270178876</v>
      </c>
      <c r="F24" s="13">
        <f>$M$17*$M$8/$M$12</f>
        <v>0</v>
      </c>
      <c r="G24" s="15"/>
      <c r="H24" s="15"/>
      <c r="I24" s="15"/>
      <c r="J24" s="15"/>
      <c r="K24" s="15"/>
      <c r="L24" s="23" t="s">
        <v>462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2"/>
      <c r="B25" s="92"/>
      <c r="C25" s="16" t="s">
        <v>420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463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2"/>
      <c r="B26" s="92"/>
      <c r="C26" s="16" t="s">
        <v>421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464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2"/>
      <c r="B27" s="92"/>
      <c r="C27" s="16" t="s">
        <v>422</v>
      </c>
      <c r="D27" s="13"/>
      <c r="E27" s="13"/>
      <c r="F27" s="13"/>
      <c r="G27" s="15"/>
      <c r="H27" s="15"/>
      <c r="I27" s="15"/>
      <c r="J27" s="15"/>
      <c r="K27" s="15"/>
      <c r="L27" s="23" t="s">
        <v>465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2"/>
      <c r="B28" s="93"/>
      <c r="C28" s="16" t="s">
        <v>404</v>
      </c>
      <c r="D28" s="13">
        <f>SUM(D$24:D27)</f>
        <v>402350.50226934697</v>
      </c>
      <c r="E28" s="13">
        <f>SUM(E$24:E27)</f>
        <v>-8369.2053270178876</v>
      </c>
      <c r="F28" s="13">
        <f>SUM(F$24:F27)</f>
        <v>0</v>
      </c>
      <c r="G28" s="15"/>
      <c r="H28" s="15"/>
      <c r="I28" s="15"/>
      <c r="J28" s="15"/>
      <c r="K28" s="15"/>
      <c r="L28" s="23" t="s">
        <v>466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3"/>
      <c r="B29" s="87" t="s">
        <v>404</v>
      </c>
      <c r="C29" s="89"/>
      <c r="D29" s="13">
        <f>SUMIF(C$2:C28,"SUBTOTAL",D$2:D28)</f>
        <v>12739219.747039411</v>
      </c>
      <c r="E29" s="13">
        <f>SUMIF(C$2:C28,"SUBTOTAL",E$2:E28)</f>
        <v>-2960590.2464237553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467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1" t="s">
        <v>423</v>
      </c>
      <c r="B30" s="91" t="s">
        <v>396</v>
      </c>
      <c r="C30" s="16" t="s">
        <v>398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468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2"/>
      <c r="B31" s="92"/>
      <c r="C31" s="16" t="s">
        <v>424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469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2"/>
      <c r="B32" s="92"/>
      <c r="C32" s="16" t="s">
        <v>425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470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2"/>
      <c r="B33" s="92"/>
      <c r="C33" s="16" t="s">
        <v>484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471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2"/>
      <c r="B34" s="92"/>
      <c r="C34" s="16" t="s">
        <v>426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472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2"/>
      <c r="B35" s="93"/>
      <c r="C35" s="16" t="s">
        <v>404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473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2"/>
      <c r="B36" s="91" t="s">
        <v>427</v>
      </c>
      <c r="C36" s="16" t="s">
        <v>428</v>
      </c>
      <c r="D36" s="13">
        <f>$M$14*($M$12-$M$7)</f>
        <v>2984438.2373716203</v>
      </c>
      <c r="E36" s="13">
        <f>$M$16*($M$12-$M$7)/$M$12</f>
        <v>-62078.650961011466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474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2"/>
      <c r="B37" s="93"/>
      <c r="C37" s="16" t="s">
        <v>404</v>
      </c>
      <c r="D37" s="13">
        <f>SUM(D$36:D36)</f>
        <v>2984438.2373716203</v>
      </c>
      <c r="E37" s="13">
        <f>SUM(E$36:E36)</f>
        <v>-62078.650961011466</v>
      </c>
      <c r="F37" s="13">
        <f>SUM(F$36:F36)</f>
        <v>0</v>
      </c>
      <c r="G37" s="15"/>
      <c r="H37" s="15"/>
      <c r="I37" s="15"/>
      <c r="J37" s="15"/>
      <c r="K37" s="15"/>
      <c r="L37" s="23" t="s">
        <v>475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2"/>
      <c r="B38" s="91" t="s">
        <v>405</v>
      </c>
      <c r="C38" s="16" t="s">
        <v>429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476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533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2"/>
      <c r="B39" s="92"/>
      <c r="C39" s="16" t="s">
        <v>430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477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550</v>
      </c>
      <c r="P39" s="15" t="s">
        <v>551</v>
      </c>
      <c r="Q39" s="15" t="s">
        <v>552</v>
      </c>
      <c r="R39" s="15" t="s">
        <v>553</v>
      </c>
      <c r="S39" s="15" t="s">
        <v>1</v>
      </c>
      <c r="T39" s="15" t="s">
        <v>554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92"/>
      <c r="B40" s="92"/>
      <c r="C40" s="16" t="s">
        <v>431</v>
      </c>
      <c r="D40" s="13"/>
      <c r="E40" s="13"/>
      <c r="F40" s="13"/>
      <c r="G40" s="15"/>
      <c r="H40" s="15"/>
      <c r="I40" s="15"/>
      <c r="J40" s="15"/>
      <c r="K40" s="15"/>
      <c r="L40" s="23" t="s">
        <v>478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92"/>
      <c r="B41" s="93"/>
      <c r="C41" s="16" t="s">
        <v>404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92"/>
      <c r="B42" s="91" t="s">
        <v>415</v>
      </c>
      <c r="C42" s="16" t="s">
        <v>416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92"/>
      <c r="B43" s="93"/>
      <c r="C43" s="16" t="s">
        <v>404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92"/>
      <c r="B44" s="91" t="s">
        <v>418</v>
      </c>
      <c r="C44" s="16" t="s">
        <v>432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92"/>
      <c r="B45" s="93"/>
      <c r="C45" s="16" t="s">
        <v>404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93"/>
      <c r="B46" s="87" t="s">
        <v>404</v>
      </c>
      <c r="C46" s="89"/>
      <c r="D46" s="13">
        <f>SUMIF(C$30:C45,"SUBTOTAL",D$30:D45)</f>
        <v>2984438.2373716203</v>
      </c>
      <c r="E46" s="13">
        <f>SUMIF(C$30:C45,"SUBTOTAL",E$30:E45)</f>
        <v>-62078.650961011466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7" t="s">
        <v>433</v>
      </c>
      <c r="B47" s="88"/>
      <c r="C47" s="89"/>
      <c r="D47" s="13">
        <f>SUMIF(C$2:C46,"SUBTOTAL",D$2:D46)</f>
        <v>15723657.984411031</v>
      </c>
      <c r="E47" s="13">
        <f>SUMIF(C$2:C46,"SUBTOTAL",E$2:E46)</f>
        <v>-3022668.897384767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5" t="s">
        <v>525</v>
      </c>
      <c r="B48" s="86"/>
      <c r="C48" s="86"/>
      <c r="D48" s="26">
        <f ca="1">'TUSD BE'!$AM$53+'TUSD BE'!$AM$57+'TE BE'!$AB$44</f>
        <v>15723657.984411035</v>
      </c>
      <c r="E48" s="26">
        <f ca="1">'TUSD BF'!$AM$53+'TE BF'!$AB$44</f>
        <v>-3022668.8973847674</v>
      </c>
      <c r="F48" s="26">
        <f ca="1">'TUSD CVA'!$AM$53+'TE CVA'!$AB$44</f>
        <v>0</v>
      </c>
      <c r="H48" s="59">
        <f ca="1">D48+E48</f>
        <v>12700989.087026268</v>
      </c>
      <c r="L48" s="65"/>
      <c r="M48" s="23"/>
      <c r="O48" s="33"/>
      <c r="P48" s="33"/>
      <c r="Q48" s="33"/>
      <c r="R48" s="33"/>
      <c r="S48" s="33"/>
      <c r="T48" s="33"/>
    </row>
    <row r="49" spans="1:20" ht="12" customHeight="1" x14ac:dyDescent="0.3">
      <c r="A49" s="85" t="s">
        <v>526</v>
      </c>
      <c r="B49" s="86"/>
      <c r="C49" s="86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H49" s="61">
        <v>12700989.087026265</v>
      </c>
      <c r="L49" s="65"/>
      <c r="M49" s="23"/>
      <c r="O49" s="33"/>
      <c r="P49" s="33"/>
      <c r="Q49" s="33"/>
      <c r="R49" s="33"/>
      <c r="S49" s="33"/>
      <c r="T49" s="33"/>
    </row>
    <row r="50" spans="1:20" ht="12" customHeight="1" x14ac:dyDescent="0.3">
      <c r="L50" s="65"/>
      <c r="M50" s="23"/>
      <c r="O50" s="33"/>
      <c r="P50" s="33"/>
      <c r="Q50" s="33"/>
      <c r="R50" s="33"/>
      <c r="S50" s="33"/>
      <c r="T50" s="33"/>
    </row>
    <row r="51" spans="1:20" ht="12" customHeight="1" x14ac:dyDescent="0.3">
      <c r="H51" s="62">
        <f ca="1">H48-H49</f>
        <v>0</v>
      </c>
      <c r="L51" s="50" t="s">
        <v>479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3">
      <c r="O52" s="33"/>
      <c r="P52" s="33"/>
      <c r="Q52" s="33"/>
      <c r="R52" s="33"/>
      <c r="S52" s="33"/>
      <c r="T52" s="33"/>
    </row>
    <row r="53" spans="1:20" ht="12" customHeight="1" x14ac:dyDescent="0.3">
      <c r="O53" s="33"/>
      <c r="P53" s="33"/>
      <c r="Q53" s="33"/>
      <c r="R53" s="33"/>
      <c r="S53" s="33"/>
      <c r="T53" s="33"/>
    </row>
    <row r="54" spans="1:20" ht="12" customHeight="1" x14ac:dyDescent="0.3">
      <c r="O54" s="33"/>
      <c r="P54" s="33"/>
      <c r="Q54" s="33"/>
      <c r="R54" s="33"/>
      <c r="S54" s="33"/>
      <c r="T54" s="33"/>
    </row>
    <row r="55" spans="1:20" ht="12" customHeight="1" x14ac:dyDescent="0.3">
      <c r="O55" s="33"/>
      <c r="P55" s="33"/>
      <c r="Q55" s="33"/>
      <c r="R55" s="33"/>
      <c r="S55" s="33"/>
      <c r="T55" s="33"/>
    </row>
    <row r="56" spans="1:20" ht="12" customHeight="1" x14ac:dyDescent="0.3">
      <c r="O56" s="33"/>
      <c r="P56" s="33"/>
      <c r="Q56" s="33"/>
      <c r="R56" s="33"/>
      <c r="S56" s="33"/>
      <c r="T56" s="33"/>
    </row>
    <row r="57" spans="1:20" ht="12" customHeight="1" x14ac:dyDescent="0.3">
      <c r="O57" s="33"/>
      <c r="P57" s="33"/>
      <c r="Q57" s="33"/>
      <c r="R57" s="33"/>
      <c r="S57" s="33"/>
      <c r="T57" s="33"/>
    </row>
    <row r="58" spans="1:20" ht="12" customHeight="1" x14ac:dyDescent="0.3">
      <c r="O58" s="33"/>
      <c r="P58" s="33"/>
      <c r="Q58" s="33"/>
      <c r="R58" s="33"/>
      <c r="S58" s="33"/>
      <c r="T58" s="33"/>
    </row>
    <row r="59" spans="1:20" ht="12" customHeight="1" x14ac:dyDescent="0.3">
      <c r="O59" s="33"/>
      <c r="P59" s="33"/>
      <c r="Q59" s="33"/>
      <c r="R59" s="33"/>
      <c r="S59" s="33"/>
      <c r="T59" s="33"/>
    </row>
    <row r="60" spans="1:20" ht="12" customHeight="1" x14ac:dyDescent="0.3">
      <c r="O60" s="33"/>
      <c r="P60" s="33"/>
      <c r="Q60" s="33"/>
      <c r="R60" s="33"/>
      <c r="S60" s="33"/>
      <c r="T60" s="33"/>
    </row>
    <row r="61" spans="1:20" ht="12" customHeight="1" x14ac:dyDescent="0.3">
      <c r="O61" s="33"/>
      <c r="P61" s="33"/>
      <c r="Q61" s="33"/>
      <c r="R61" s="33"/>
      <c r="S61" s="33"/>
      <c r="T61" s="33"/>
    </row>
    <row r="62" spans="1:20" ht="12" customHeight="1" x14ac:dyDescent="0.3">
      <c r="O62" s="33"/>
      <c r="P62" s="33"/>
      <c r="Q62" s="33"/>
      <c r="R62" s="33"/>
      <c r="S62" s="33"/>
      <c r="T62" s="33"/>
    </row>
    <row r="63" spans="1:20" ht="12" customHeight="1" x14ac:dyDescent="0.3">
      <c r="O63" s="33"/>
      <c r="P63" s="33"/>
      <c r="Q63" s="33"/>
      <c r="R63" s="33"/>
      <c r="S63" s="33"/>
      <c r="T63" s="33"/>
    </row>
    <row r="64" spans="1:20" ht="12" customHeight="1" x14ac:dyDescent="0.3">
      <c r="O64" s="33"/>
      <c r="P64" s="33"/>
      <c r="Q64" s="33"/>
      <c r="R64" s="33"/>
      <c r="S64" s="33"/>
      <c r="T64" s="33"/>
    </row>
    <row r="65" spans="15:20" ht="12" customHeight="1" x14ac:dyDescent="0.3">
      <c r="O65" s="33"/>
      <c r="P65" s="33"/>
      <c r="Q65" s="33"/>
      <c r="R65" s="33"/>
      <c r="S65" s="33"/>
      <c r="T65" s="33"/>
    </row>
    <row r="66" spans="15:20" ht="12" customHeight="1" x14ac:dyDescent="0.3">
      <c r="O66" s="33"/>
      <c r="P66" s="33"/>
      <c r="Q66" s="33"/>
      <c r="R66" s="33"/>
      <c r="S66" s="33"/>
      <c r="T66" s="33"/>
    </row>
    <row r="67" spans="15:20" ht="12" customHeight="1" x14ac:dyDescent="0.3">
      <c r="O67" s="33"/>
      <c r="P67" s="33"/>
      <c r="Q67" s="33"/>
      <c r="R67" s="33"/>
      <c r="S67" s="33"/>
      <c r="T67" s="33"/>
    </row>
    <row r="68" spans="15:20" ht="12" customHeight="1" x14ac:dyDescent="0.3">
      <c r="O68" s="33"/>
      <c r="P68" s="33"/>
      <c r="Q68" s="33"/>
      <c r="R68" s="33"/>
      <c r="S68" s="33"/>
      <c r="T68" s="33"/>
    </row>
    <row r="69" spans="15:20" ht="12" customHeight="1" x14ac:dyDescent="0.3">
      <c r="O69" s="33"/>
      <c r="P69" s="33"/>
      <c r="Q69" s="33"/>
      <c r="R69" s="33"/>
      <c r="S69" s="33"/>
      <c r="T69" s="33"/>
    </row>
    <row r="70" spans="15:20" ht="12" customHeight="1" x14ac:dyDescent="0.3">
      <c r="O70" s="33"/>
      <c r="P70" s="33"/>
      <c r="Q70" s="33"/>
      <c r="R70" s="33"/>
      <c r="S70" s="33"/>
      <c r="T70" s="33"/>
    </row>
    <row r="71" spans="15:20" ht="12" customHeight="1" x14ac:dyDescent="0.3">
      <c r="O71" s="33"/>
      <c r="P71" s="33"/>
      <c r="Q71" s="33"/>
      <c r="R71" s="33"/>
      <c r="S71" s="33"/>
      <c r="T71" s="33"/>
    </row>
    <row r="72" spans="15:20" ht="12" customHeight="1" x14ac:dyDescent="0.3">
      <c r="O72" s="33"/>
      <c r="P72" s="33"/>
      <c r="Q72" s="33"/>
      <c r="R72" s="33"/>
      <c r="S72" s="33"/>
      <c r="T72" s="33"/>
    </row>
    <row r="73" spans="15:20" ht="12" customHeight="1" x14ac:dyDescent="0.3">
      <c r="O73" s="33"/>
      <c r="P73" s="33"/>
      <c r="Q73" s="33"/>
      <c r="R73" s="33"/>
      <c r="S73" s="33"/>
      <c r="T73" s="33"/>
    </row>
    <row r="74" spans="15:20" ht="12" customHeight="1" x14ac:dyDescent="0.3">
      <c r="O74" s="33"/>
      <c r="P74" s="33"/>
      <c r="Q74" s="33"/>
      <c r="R74" s="33"/>
      <c r="S74" s="33"/>
      <c r="T74" s="33"/>
    </row>
    <row r="75" spans="15:20" ht="12" customHeight="1" x14ac:dyDescent="0.3">
      <c r="O75" s="33"/>
      <c r="P75" s="33"/>
      <c r="Q75" s="33"/>
      <c r="R75" s="33"/>
      <c r="S75" s="33"/>
      <c r="T75" s="33"/>
    </row>
    <row r="76" spans="15:20" ht="12" customHeight="1" x14ac:dyDescent="0.3">
      <c r="O76" s="33"/>
      <c r="P76" s="33"/>
      <c r="Q76" s="33"/>
      <c r="R76" s="33"/>
      <c r="S76" s="33"/>
      <c r="T76" s="33"/>
    </row>
    <row r="77" spans="15:20" ht="12" customHeight="1" x14ac:dyDescent="0.3">
      <c r="O77" s="33"/>
      <c r="P77" s="33"/>
      <c r="Q77" s="33"/>
      <c r="R77" s="33"/>
      <c r="S77" s="33"/>
      <c r="T77" s="33"/>
    </row>
    <row r="78" spans="15:20" ht="12" customHeight="1" x14ac:dyDescent="0.3">
      <c r="O78" s="33"/>
      <c r="P78" s="33"/>
      <c r="Q78" s="33"/>
      <c r="R78" s="33"/>
      <c r="S78" s="33"/>
      <c r="T78" s="33"/>
    </row>
    <row r="79" spans="15:20" ht="12" customHeight="1" x14ac:dyDescent="0.3">
      <c r="O79" s="33"/>
      <c r="P79" s="33"/>
      <c r="Q79" s="33"/>
      <c r="R79" s="33"/>
      <c r="S79" s="33"/>
      <c r="T79" s="33"/>
    </row>
    <row r="80" spans="15:20" ht="12" customHeight="1" x14ac:dyDescent="0.3">
      <c r="O80" s="33"/>
      <c r="P80" s="33"/>
      <c r="Q80" s="33"/>
      <c r="R80" s="33"/>
      <c r="S80" s="33"/>
      <c r="T80" s="33"/>
    </row>
    <row r="81" spans="15:20" ht="12" customHeight="1" x14ac:dyDescent="0.3">
      <c r="O81" s="33"/>
      <c r="P81" s="33"/>
      <c r="Q81" s="33"/>
      <c r="R81" s="33"/>
      <c r="S81" s="33"/>
      <c r="T81" s="33"/>
    </row>
    <row r="82" spans="15:20" ht="12" customHeight="1" x14ac:dyDescent="0.3">
      <c r="O82" s="33"/>
      <c r="P82" s="33"/>
      <c r="Q82" s="33"/>
      <c r="R82" s="33"/>
      <c r="S82" s="33"/>
      <c r="T82" s="33"/>
    </row>
    <row r="83" spans="15:20" ht="12" customHeight="1" x14ac:dyDescent="0.3">
      <c r="O83" s="33"/>
      <c r="P83" s="33"/>
      <c r="Q83" s="33"/>
      <c r="R83" s="33"/>
      <c r="S83" s="33"/>
      <c r="T83" s="33"/>
    </row>
    <row r="84" spans="15:20" ht="12" customHeight="1" x14ac:dyDescent="0.3">
      <c r="O84" s="33"/>
      <c r="P84" s="33"/>
      <c r="Q84" s="33"/>
      <c r="R84" s="33"/>
      <c r="S84" s="33"/>
      <c r="T84" s="33"/>
    </row>
    <row r="85" spans="15:20" ht="12" customHeight="1" x14ac:dyDescent="0.3">
      <c r="O85" s="33"/>
      <c r="P85" s="33"/>
      <c r="Q85" s="33"/>
      <c r="R85" s="33"/>
      <c r="S85" s="33"/>
      <c r="T85" s="33"/>
    </row>
    <row r="86" spans="15:20" ht="12" customHeight="1" x14ac:dyDescent="0.3">
      <c r="O86" s="33"/>
      <c r="P86" s="33"/>
      <c r="Q86" s="33"/>
      <c r="R86" s="33"/>
      <c r="S86" s="33"/>
      <c r="T86" s="33"/>
    </row>
    <row r="87" spans="15:20" ht="12" customHeight="1" x14ac:dyDescent="0.3">
      <c r="O87" s="33"/>
      <c r="P87" s="33"/>
      <c r="Q87" s="33"/>
      <c r="R87" s="33"/>
      <c r="S87" s="33"/>
      <c r="T87" s="33"/>
    </row>
    <row r="88" spans="15:20" ht="12" customHeight="1" x14ac:dyDescent="0.3">
      <c r="O88" s="33"/>
      <c r="P88" s="33"/>
      <c r="Q88" s="33"/>
      <c r="R88" s="33"/>
      <c r="S88" s="33"/>
      <c r="T88" s="33"/>
    </row>
    <row r="89" spans="15:20" ht="12" customHeight="1" x14ac:dyDescent="0.3">
      <c r="O89" s="33"/>
      <c r="P89" s="33"/>
      <c r="Q89" s="33"/>
      <c r="R89" s="33"/>
      <c r="S89" s="33"/>
      <c r="T89" s="33"/>
    </row>
    <row r="90" spans="15:20" ht="12" customHeight="1" x14ac:dyDescent="0.3">
      <c r="O90" s="33"/>
      <c r="P90" s="33"/>
      <c r="Q90" s="33"/>
      <c r="R90" s="33"/>
      <c r="S90" s="33"/>
      <c r="T90" s="33"/>
    </row>
    <row r="91" spans="15:20" ht="12" customHeight="1" x14ac:dyDescent="0.3">
      <c r="O91" s="33"/>
      <c r="P91" s="33"/>
      <c r="Q91" s="33"/>
      <c r="R91" s="33"/>
      <c r="S91" s="33"/>
      <c r="T91" s="33"/>
    </row>
    <row r="92" spans="15:20" ht="12" customHeight="1" x14ac:dyDescent="0.3">
      <c r="O92" s="33"/>
      <c r="P92" s="33"/>
      <c r="Q92" s="33"/>
      <c r="R92" s="33"/>
      <c r="S92" s="33"/>
      <c r="T92" s="33"/>
    </row>
    <row r="93" spans="15:20" ht="12" customHeight="1" x14ac:dyDescent="0.3">
      <c r="O93" s="33"/>
      <c r="P93" s="33"/>
      <c r="Q93" s="33"/>
      <c r="R93" s="33"/>
      <c r="S93" s="33"/>
      <c r="T93" s="33"/>
    </row>
    <row r="94" spans="15:20" ht="12" customHeight="1" x14ac:dyDescent="0.3">
      <c r="O94" s="33"/>
      <c r="P94" s="33"/>
      <c r="Q94" s="33"/>
      <c r="R94" s="33"/>
      <c r="S94" s="33"/>
      <c r="T94" s="33"/>
    </row>
    <row r="95" spans="15:20" ht="12" customHeight="1" x14ac:dyDescent="0.3">
      <c r="O95" s="33"/>
      <c r="P95" s="33"/>
      <c r="Q95" s="33"/>
      <c r="R95" s="33"/>
      <c r="S95" s="33"/>
      <c r="T95" s="33"/>
    </row>
    <row r="96" spans="15:20" ht="12" customHeight="1" x14ac:dyDescent="0.3">
      <c r="O96" s="33"/>
      <c r="P96" s="33"/>
      <c r="Q96" s="33"/>
      <c r="R96" s="33"/>
      <c r="S96" s="33"/>
      <c r="T96" s="33"/>
    </row>
    <row r="97" spans="15:30" ht="12" customHeight="1" x14ac:dyDescent="0.3">
      <c r="O97" s="33"/>
      <c r="P97" s="33"/>
      <c r="Q97" s="33"/>
      <c r="R97" s="33"/>
      <c r="S97" s="33"/>
      <c r="T97" s="33"/>
    </row>
    <row r="98" spans="15:30" ht="12" customHeight="1" x14ac:dyDescent="0.3">
      <c r="O98" s="33"/>
      <c r="P98" s="33"/>
      <c r="Q98" s="33"/>
      <c r="R98" s="33"/>
      <c r="S98" s="33"/>
      <c r="T98" s="33"/>
    </row>
    <row r="99" spans="15:30" ht="12" customHeight="1" x14ac:dyDescent="0.3">
      <c r="O99" s="32"/>
      <c r="P99" s="32"/>
      <c r="Q99" s="32"/>
      <c r="R99" s="32"/>
      <c r="S99" s="32"/>
      <c r="T99" s="32"/>
    </row>
    <row r="100" spans="15:30" ht="12" customHeight="1" x14ac:dyDescent="0.3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3">
      <c r="O101" s="33" t="s">
        <v>550</v>
      </c>
      <c r="P101" s="33" t="s">
        <v>555</v>
      </c>
      <c r="Q101" s="33" t="s">
        <v>556</v>
      </c>
      <c r="R101" s="33" t="s">
        <v>557</v>
      </c>
      <c r="S101" s="33" t="s">
        <v>558</v>
      </c>
      <c r="T101" s="33" t="s">
        <v>559</v>
      </c>
      <c r="U101" s="33" t="s">
        <v>560</v>
      </c>
      <c r="V101" s="33" t="s">
        <v>561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3">
      <c r="O102" s="33" t="s">
        <v>49</v>
      </c>
      <c r="P102" s="33" t="s">
        <v>73</v>
      </c>
      <c r="Q102" s="33" t="s">
        <v>38</v>
      </c>
      <c r="R102" s="33" t="s">
        <v>42</v>
      </c>
      <c r="S102" s="33" t="s">
        <v>25</v>
      </c>
      <c r="T102" s="33" t="s">
        <v>562</v>
      </c>
      <c r="U102" s="33">
        <v>4</v>
      </c>
      <c r="V102" s="33">
        <v>0.1</v>
      </c>
      <c r="W102" s="33">
        <v>0.08</v>
      </c>
      <c r="X102" s="33">
        <v>0.06</v>
      </c>
      <c r="Y102" s="33">
        <v>0.04</v>
      </c>
      <c r="Z102" s="33">
        <v>0.02</v>
      </c>
      <c r="AA102" s="33">
        <v>0</v>
      </c>
      <c r="AB102" s="33"/>
      <c r="AC102" s="33"/>
      <c r="AD102" s="33"/>
    </row>
    <row r="103" spans="15:30" ht="12" customHeight="1" x14ac:dyDescent="0.3">
      <c r="O103" s="33" t="s">
        <v>49</v>
      </c>
      <c r="P103" s="33" t="s">
        <v>73</v>
      </c>
      <c r="Q103" s="33" t="s">
        <v>38</v>
      </c>
      <c r="R103" s="33" t="s">
        <v>47</v>
      </c>
      <c r="S103" s="33" t="s">
        <v>48</v>
      </c>
      <c r="T103" s="33" t="s">
        <v>563</v>
      </c>
      <c r="U103" s="33">
        <v>4</v>
      </c>
      <c r="V103" s="33">
        <v>0.15</v>
      </c>
      <c r="W103" s="33">
        <v>0.12</v>
      </c>
      <c r="X103" s="33">
        <v>0.09</v>
      </c>
      <c r="Y103" s="33">
        <v>0.06</v>
      </c>
      <c r="Z103" s="33">
        <v>0.03</v>
      </c>
      <c r="AA103" s="33">
        <v>0</v>
      </c>
      <c r="AB103" s="33"/>
      <c r="AC103" s="33"/>
      <c r="AD103" s="33"/>
    </row>
    <row r="104" spans="15:30" ht="12" customHeight="1" x14ac:dyDescent="0.3">
      <c r="O104" s="33" t="s">
        <v>49</v>
      </c>
      <c r="P104" s="33" t="s">
        <v>564</v>
      </c>
      <c r="Q104" s="33" t="s">
        <v>41</v>
      </c>
      <c r="R104" s="33" t="s">
        <v>42</v>
      </c>
      <c r="S104" s="33" t="s">
        <v>85</v>
      </c>
      <c r="T104" s="33" t="s">
        <v>563</v>
      </c>
      <c r="U104" s="33">
        <v>4</v>
      </c>
      <c r="V104" s="33">
        <v>0.3</v>
      </c>
      <c r="W104" s="33">
        <v>0.24</v>
      </c>
      <c r="X104" s="33">
        <v>0.18</v>
      </c>
      <c r="Y104" s="33">
        <v>0.12</v>
      </c>
      <c r="Z104" s="33">
        <v>0.06</v>
      </c>
      <c r="AA104" s="33">
        <v>0</v>
      </c>
      <c r="AB104" s="33"/>
      <c r="AC104" s="33"/>
      <c r="AD104" s="33"/>
    </row>
    <row r="105" spans="15:30" ht="12" customHeight="1" x14ac:dyDescent="0.3">
      <c r="O105" s="33" t="s">
        <v>49</v>
      </c>
      <c r="P105" s="33" t="s">
        <v>33</v>
      </c>
      <c r="Q105" s="33" t="s">
        <v>41</v>
      </c>
      <c r="R105" s="33" t="s">
        <v>42</v>
      </c>
      <c r="S105" s="33" t="s">
        <v>25</v>
      </c>
      <c r="T105" s="33" t="s">
        <v>42</v>
      </c>
      <c r="U105" s="33">
        <v>4</v>
      </c>
      <c r="V105" s="33">
        <v>0.3</v>
      </c>
      <c r="W105" s="33">
        <v>0.24</v>
      </c>
      <c r="X105" s="33">
        <v>0.18</v>
      </c>
      <c r="Y105" s="33">
        <v>0.12</v>
      </c>
      <c r="Z105" s="33">
        <v>0.06</v>
      </c>
      <c r="AA105" s="33">
        <v>0</v>
      </c>
      <c r="AB105" s="33"/>
      <c r="AC105" s="33"/>
      <c r="AD105" s="33"/>
    </row>
    <row r="106" spans="15:30" ht="12" customHeight="1" x14ac:dyDescent="0.3">
      <c r="O106" s="33" t="s">
        <v>49</v>
      </c>
      <c r="P106" s="33" t="s">
        <v>564</v>
      </c>
      <c r="Q106" s="33" t="s">
        <v>41</v>
      </c>
      <c r="R106" s="33" t="s">
        <v>42</v>
      </c>
      <c r="S106" s="33" t="s">
        <v>86</v>
      </c>
      <c r="T106" s="33" t="s">
        <v>563</v>
      </c>
      <c r="U106" s="33">
        <v>4</v>
      </c>
      <c r="V106" s="33">
        <v>0.4</v>
      </c>
      <c r="W106" s="33">
        <v>0.32</v>
      </c>
      <c r="X106" s="33">
        <v>0.24</v>
      </c>
      <c r="Y106" s="33">
        <v>0.16</v>
      </c>
      <c r="Z106" s="33">
        <v>0.08</v>
      </c>
      <c r="AA106" s="33">
        <v>0</v>
      </c>
      <c r="AB106" s="33"/>
      <c r="AC106" s="33"/>
      <c r="AD106" s="33"/>
    </row>
    <row r="107" spans="15:30" ht="12" customHeight="1" x14ac:dyDescent="0.3">
      <c r="O107" s="33" t="s">
        <v>49</v>
      </c>
      <c r="P107" s="33" t="s">
        <v>33</v>
      </c>
      <c r="Q107" s="33" t="s">
        <v>36</v>
      </c>
      <c r="R107" s="33" t="s">
        <v>47</v>
      </c>
      <c r="S107" s="33" t="s">
        <v>48</v>
      </c>
      <c r="T107" s="33" t="s">
        <v>563</v>
      </c>
      <c r="U107" s="33">
        <v>4</v>
      </c>
      <c r="V107" s="33">
        <v>0.15</v>
      </c>
      <c r="W107" s="33">
        <v>0.12</v>
      </c>
      <c r="X107" s="33">
        <v>0.09</v>
      </c>
      <c r="Y107" s="33">
        <v>0.06</v>
      </c>
      <c r="Z107" s="33">
        <v>0.03</v>
      </c>
      <c r="AA107" s="33">
        <v>0</v>
      </c>
      <c r="AB107" s="33"/>
      <c r="AC107" s="33"/>
      <c r="AD107" s="33"/>
    </row>
    <row r="108" spans="15:30" ht="12" customHeight="1" x14ac:dyDescent="0.3">
      <c r="O108" s="33" t="s">
        <v>49</v>
      </c>
      <c r="P108" s="33" t="s">
        <v>23</v>
      </c>
      <c r="Q108" s="33" t="s">
        <v>38</v>
      </c>
      <c r="R108" s="33" t="s">
        <v>42</v>
      </c>
      <c r="S108" s="33" t="s">
        <v>25</v>
      </c>
      <c r="T108" s="33" t="s">
        <v>562</v>
      </c>
      <c r="U108" s="33">
        <v>4</v>
      </c>
      <c r="V108" s="33">
        <v>0.1</v>
      </c>
      <c r="W108" s="33">
        <v>0.08</v>
      </c>
      <c r="X108" s="33">
        <v>0.06</v>
      </c>
      <c r="Y108" s="33">
        <v>0.04</v>
      </c>
      <c r="Z108" s="33">
        <v>0.02</v>
      </c>
      <c r="AA108" s="33">
        <v>0</v>
      </c>
      <c r="AB108" s="33"/>
      <c r="AC108" s="33"/>
      <c r="AD108" s="33"/>
    </row>
    <row r="109" spans="15:30" ht="12" customHeight="1" x14ac:dyDescent="0.3">
      <c r="O109" s="33" t="s">
        <v>49</v>
      </c>
      <c r="P109" s="33" t="s">
        <v>565</v>
      </c>
      <c r="Q109" s="33" t="s">
        <v>38</v>
      </c>
      <c r="R109" s="33" t="s">
        <v>47</v>
      </c>
      <c r="S109" s="33" t="s">
        <v>48</v>
      </c>
      <c r="T109" s="33" t="s">
        <v>563</v>
      </c>
      <c r="U109" s="33">
        <v>4</v>
      </c>
      <c r="V109" s="33">
        <v>0.15</v>
      </c>
      <c r="W109" s="33">
        <v>0.12</v>
      </c>
      <c r="X109" s="33">
        <v>0.09</v>
      </c>
      <c r="Y109" s="33">
        <v>0.06</v>
      </c>
      <c r="Z109" s="33">
        <v>0.03</v>
      </c>
      <c r="AA109" s="33">
        <v>0</v>
      </c>
      <c r="AB109" s="33"/>
      <c r="AC109" s="33"/>
      <c r="AD109" s="33"/>
    </row>
    <row r="110" spans="15:30" ht="12" customHeight="1" x14ac:dyDescent="0.3">
      <c r="O110" s="33" t="s">
        <v>49</v>
      </c>
      <c r="P110" s="33" t="s">
        <v>23</v>
      </c>
      <c r="Q110" s="33" t="s">
        <v>41</v>
      </c>
      <c r="R110" s="33" t="s">
        <v>42</v>
      </c>
      <c r="S110" s="33" t="s">
        <v>85</v>
      </c>
      <c r="T110" s="33" t="s">
        <v>563</v>
      </c>
      <c r="U110" s="33">
        <v>4</v>
      </c>
      <c r="V110" s="33">
        <v>0.3</v>
      </c>
      <c r="W110" s="33">
        <v>0.24</v>
      </c>
      <c r="X110" s="33">
        <v>0.18</v>
      </c>
      <c r="Y110" s="33">
        <v>0.12</v>
      </c>
      <c r="Z110" s="33">
        <v>0.06</v>
      </c>
      <c r="AA110" s="33">
        <v>0</v>
      </c>
      <c r="AB110" s="33"/>
      <c r="AC110" s="33"/>
      <c r="AD110" s="33"/>
    </row>
    <row r="111" spans="15:30" ht="12" customHeight="1" x14ac:dyDescent="0.3">
      <c r="O111" s="33" t="s">
        <v>49</v>
      </c>
      <c r="P111" s="33" t="s">
        <v>23</v>
      </c>
      <c r="Q111" s="33" t="s">
        <v>41</v>
      </c>
      <c r="R111" s="33" t="s">
        <v>42</v>
      </c>
      <c r="S111" s="33" t="s">
        <v>25</v>
      </c>
      <c r="T111" s="33" t="s">
        <v>42</v>
      </c>
      <c r="U111" s="33">
        <v>4</v>
      </c>
      <c r="V111" s="33">
        <v>0.3</v>
      </c>
      <c r="W111" s="33">
        <v>0.24</v>
      </c>
      <c r="X111" s="33">
        <v>0.18</v>
      </c>
      <c r="Y111" s="33">
        <v>0.12</v>
      </c>
      <c r="Z111" s="33">
        <v>0.06</v>
      </c>
      <c r="AA111" s="33">
        <v>0</v>
      </c>
      <c r="AB111" s="33"/>
      <c r="AC111" s="33"/>
      <c r="AD111" s="33"/>
    </row>
    <row r="112" spans="15:30" ht="12" customHeight="1" x14ac:dyDescent="0.3">
      <c r="O112" s="33" t="s">
        <v>49</v>
      </c>
      <c r="P112" s="33" t="s">
        <v>23</v>
      </c>
      <c r="Q112" s="33" t="s">
        <v>41</v>
      </c>
      <c r="R112" s="33" t="s">
        <v>42</v>
      </c>
      <c r="S112" s="33" t="s">
        <v>86</v>
      </c>
      <c r="T112" s="33" t="s">
        <v>563</v>
      </c>
      <c r="U112" s="33">
        <v>4</v>
      </c>
      <c r="V112" s="33">
        <v>0.4</v>
      </c>
      <c r="W112" s="33">
        <v>0.32</v>
      </c>
      <c r="X112" s="33">
        <v>0.24</v>
      </c>
      <c r="Y112" s="33">
        <v>0.16</v>
      </c>
      <c r="Z112" s="33">
        <v>0.08</v>
      </c>
      <c r="AA112" s="33">
        <v>0</v>
      </c>
      <c r="AB112" s="33"/>
      <c r="AC112" s="33"/>
      <c r="AD112" s="33"/>
    </row>
    <row r="113" spans="15:30" ht="12" customHeight="1" x14ac:dyDescent="0.3">
      <c r="O113" s="33" t="s">
        <v>49</v>
      </c>
      <c r="P113" s="33" t="s">
        <v>23</v>
      </c>
      <c r="Q113" s="33" t="s">
        <v>36</v>
      </c>
      <c r="R113" s="33" t="s">
        <v>47</v>
      </c>
      <c r="S113" s="33" t="s">
        <v>48</v>
      </c>
      <c r="T113" s="33" t="s">
        <v>563</v>
      </c>
      <c r="U113" s="33">
        <v>4</v>
      </c>
      <c r="V113" s="33">
        <v>0.15</v>
      </c>
      <c r="W113" s="33">
        <v>0.12</v>
      </c>
      <c r="X113" s="33">
        <v>0.09</v>
      </c>
      <c r="Y113" s="33">
        <v>0.06</v>
      </c>
      <c r="Z113" s="33">
        <v>0.03</v>
      </c>
      <c r="AA113" s="33">
        <v>0</v>
      </c>
      <c r="AB113" s="33"/>
      <c r="AC113" s="33"/>
      <c r="AD113" s="33"/>
    </row>
    <row r="114" spans="15:30" ht="12" customHeight="1" x14ac:dyDescent="0.3">
      <c r="O114" s="33" t="s">
        <v>49</v>
      </c>
      <c r="P114" s="33" t="s">
        <v>39</v>
      </c>
      <c r="Q114" s="33" t="s">
        <v>38</v>
      </c>
      <c r="R114" s="33" t="s">
        <v>42</v>
      </c>
      <c r="S114" s="33" t="s">
        <v>25</v>
      </c>
      <c r="T114" s="33" t="s">
        <v>562</v>
      </c>
      <c r="U114" s="33">
        <v>4</v>
      </c>
      <c r="V114" s="33">
        <v>0.1</v>
      </c>
      <c r="W114" s="33">
        <v>0.08</v>
      </c>
      <c r="X114" s="33">
        <v>0.06</v>
      </c>
      <c r="Y114" s="33">
        <v>0.04</v>
      </c>
      <c r="Z114" s="33">
        <v>0.02</v>
      </c>
      <c r="AA114" s="33">
        <v>0</v>
      </c>
      <c r="AB114" s="33"/>
      <c r="AC114" s="33"/>
      <c r="AD114" s="33"/>
    </row>
    <row r="115" spans="15:30" ht="12" customHeight="1" x14ac:dyDescent="0.3">
      <c r="O115" s="33" t="s">
        <v>49</v>
      </c>
      <c r="P115" s="33" t="s">
        <v>39</v>
      </c>
      <c r="Q115" s="33" t="s">
        <v>38</v>
      </c>
      <c r="R115" s="33" t="s">
        <v>47</v>
      </c>
      <c r="S115" s="33" t="s">
        <v>48</v>
      </c>
      <c r="T115" s="33" t="s">
        <v>563</v>
      </c>
      <c r="U115" s="33">
        <v>4</v>
      </c>
      <c r="V115" s="33">
        <v>0.15</v>
      </c>
      <c r="W115" s="33">
        <v>0.12</v>
      </c>
      <c r="X115" s="33">
        <v>0.09</v>
      </c>
      <c r="Y115" s="33">
        <v>0.06</v>
      </c>
      <c r="Z115" s="33">
        <v>0.03</v>
      </c>
      <c r="AA115" s="33">
        <v>0</v>
      </c>
      <c r="AB115" s="33"/>
      <c r="AC115" s="33"/>
      <c r="AD115" s="33"/>
    </row>
    <row r="116" spans="15:30" ht="12" customHeight="1" x14ac:dyDescent="0.3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3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3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3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3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3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3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3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3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3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3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3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3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3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3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3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3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3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3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3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3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3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3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3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3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3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3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3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3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3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3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3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3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3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3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3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3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3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3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3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3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3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3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3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3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3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3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3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3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3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3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3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3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3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3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3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3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3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3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3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3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3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3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3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3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3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3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3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3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3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3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3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3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3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3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3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3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3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3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3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3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3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3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3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3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E828-BFC2-4B47-94C2-E48999782794}">
  <dimension ref="A1:AP51"/>
  <sheetViews>
    <sheetView showGridLines="0" topLeftCell="C35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7.6640625" style="9" bestFit="1" customWidth="1"/>
    <col min="10" max="10" width="8.88671875" style="9"/>
    <col min="11" max="11" width="14.109375" style="9" bestFit="1" customWidth="1"/>
    <col min="12" max="12" width="13" style="9" bestFit="1" customWidth="1"/>
    <col min="13" max="13" width="10.109375" style="9" bestFit="1" customWidth="1"/>
    <col min="14" max="14" width="11.33203125" style="9" bestFit="1" customWidth="1"/>
    <col min="15" max="16" width="8.77734375" style="9" bestFit="1" customWidth="1"/>
    <col min="17" max="17" width="9.6640625" style="9" bestFit="1" customWidth="1"/>
    <col min="18" max="19" width="8.44140625" style="9" bestFit="1" customWidth="1"/>
    <col min="20" max="20" width="9.6640625" style="9" bestFit="1" customWidth="1"/>
    <col min="21" max="21" width="7.21875" style="9" bestFit="1" customWidth="1"/>
    <col min="22" max="22" width="7.109375" style="9" bestFit="1" customWidth="1"/>
    <col min="23" max="24" width="9.5546875" style="9" bestFit="1" customWidth="1"/>
    <col min="25" max="25" width="9.6640625" style="9" bestFit="1" customWidth="1"/>
    <col min="26" max="26" width="7.44140625" style="9" bestFit="1" customWidth="1"/>
    <col min="27" max="27" width="9.5546875" style="9" bestFit="1" customWidth="1"/>
    <col min="28" max="28" width="9.6640625" style="9" bestFit="1" customWidth="1"/>
    <col min="29" max="29" width="11.33203125" style="9" bestFit="1" customWidth="1"/>
    <col min="30" max="30" width="10.21875" style="9" bestFit="1" customWidth="1"/>
    <col min="31" max="31" width="7.77734375" style="9" bestFit="1" customWidth="1"/>
    <col min="32" max="32" width="7.109375" style="9" bestFit="1" customWidth="1"/>
    <col min="33" max="33" width="9" style="9" bestFit="1" customWidth="1"/>
    <col min="34" max="34" width="14.88671875" style="9" bestFit="1" customWidth="1"/>
    <col min="35" max="35" width="17.5546875" style="9" bestFit="1" customWidth="1"/>
    <col min="36" max="36" width="18.5546875" style="9" bestFit="1" customWidth="1"/>
    <col min="37" max="37" width="3.88671875" style="9" bestFit="1" customWidth="1"/>
    <col min="38" max="38" width="9" style="9" bestFit="1" customWidth="1"/>
    <col min="39" max="39" width="10.5546875" style="9" bestFit="1" customWidth="1"/>
    <col min="40" max="41" width="8.88671875" style="9"/>
    <col min="42" max="42" width="7.6640625" style="9" bestFit="1" customWidth="1"/>
    <col min="43" max="16384" width="8.88671875" style="9"/>
  </cols>
  <sheetData>
    <row r="1" spans="1:42" ht="11.25" customHeight="1" x14ac:dyDescent="0.3">
      <c r="A1" s="97" t="s">
        <v>58</v>
      </c>
      <c r="B1" s="97" t="s">
        <v>59</v>
      </c>
      <c r="C1" s="97" t="s">
        <v>60</v>
      </c>
      <c r="D1" s="97" t="s">
        <v>61</v>
      </c>
      <c r="E1" s="97" t="s">
        <v>62</v>
      </c>
      <c r="F1" s="97" t="s">
        <v>15</v>
      </c>
      <c r="G1" s="97" t="s">
        <v>64</v>
      </c>
      <c r="H1" s="97" t="s">
        <v>65</v>
      </c>
      <c r="I1" s="97" t="s">
        <v>496</v>
      </c>
      <c r="J1" s="94"/>
      <c r="L1" s="98" t="s">
        <v>497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P1" s="98" t="s">
        <v>498</v>
      </c>
    </row>
    <row r="2" spans="1:42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94"/>
      <c r="L2" s="98" t="s">
        <v>395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P2" s="99"/>
    </row>
    <row r="3" spans="1:42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94"/>
      <c r="L3" s="98" t="s">
        <v>396</v>
      </c>
      <c r="M3" s="98"/>
      <c r="N3" s="98"/>
      <c r="O3" s="98"/>
      <c r="P3" s="98"/>
      <c r="Q3" s="98"/>
      <c r="R3" s="98"/>
      <c r="S3" s="98"/>
      <c r="T3" s="98"/>
      <c r="U3" s="98" t="s">
        <v>405</v>
      </c>
      <c r="V3" s="98"/>
      <c r="W3" s="98"/>
      <c r="X3" s="98"/>
      <c r="Y3" s="98"/>
      <c r="Z3" s="98"/>
      <c r="AA3" s="98"/>
      <c r="AB3" s="98"/>
      <c r="AC3" s="98" t="s">
        <v>413</v>
      </c>
      <c r="AD3" s="98"/>
      <c r="AE3" s="98" t="s">
        <v>415</v>
      </c>
      <c r="AF3" s="98"/>
      <c r="AG3" s="98"/>
      <c r="AH3" s="98" t="s">
        <v>418</v>
      </c>
      <c r="AI3" s="98"/>
      <c r="AJ3" s="98"/>
      <c r="AK3" s="98"/>
      <c r="AL3" s="98"/>
      <c r="AM3" s="98" t="s">
        <v>404</v>
      </c>
      <c r="AP3" s="99"/>
    </row>
    <row r="4" spans="1:42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94"/>
      <c r="L4" s="10" t="s">
        <v>481</v>
      </c>
      <c r="M4" s="10" t="s">
        <v>397</v>
      </c>
      <c r="N4" s="10" t="s">
        <v>398</v>
      </c>
      <c r="O4" s="10" t="s">
        <v>399</v>
      </c>
      <c r="P4" s="10" t="s">
        <v>400</v>
      </c>
      <c r="Q4" s="10" t="s">
        <v>401</v>
      </c>
      <c r="R4" s="10" t="s">
        <v>402</v>
      </c>
      <c r="S4" s="10" t="s">
        <v>403</v>
      </c>
      <c r="T4" s="10" t="s">
        <v>404</v>
      </c>
      <c r="U4" s="10" t="s">
        <v>406</v>
      </c>
      <c r="V4" s="10" t="s">
        <v>407</v>
      </c>
      <c r="W4" s="10" t="s">
        <v>408</v>
      </c>
      <c r="X4" s="10" t="s">
        <v>409</v>
      </c>
      <c r="Y4" s="10" t="s">
        <v>410</v>
      </c>
      <c r="Z4" s="10" t="s">
        <v>411</v>
      </c>
      <c r="AA4" s="10" t="s">
        <v>412</v>
      </c>
      <c r="AB4" s="10" t="s">
        <v>404</v>
      </c>
      <c r="AC4" s="10" t="s">
        <v>414</v>
      </c>
      <c r="AD4" s="10" t="s">
        <v>404</v>
      </c>
      <c r="AE4" s="10" t="s">
        <v>416</v>
      </c>
      <c r="AF4" s="10" t="s">
        <v>417</v>
      </c>
      <c r="AG4" s="10" t="s">
        <v>404</v>
      </c>
      <c r="AH4" s="10" t="s">
        <v>419</v>
      </c>
      <c r="AI4" s="10" t="s">
        <v>420</v>
      </c>
      <c r="AJ4" s="10" t="s">
        <v>421</v>
      </c>
      <c r="AK4" s="10" t="s">
        <v>422</v>
      </c>
      <c r="AL4" s="10" t="s">
        <v>404</v>
      </c>
      <c r="AM4" s="100"/>
      <c r="AP4" s="99"/>
    </row>
    <row r="5" spans="1:42" ht="11.25" customHeight="1" x14ac:dyDescent="0.3">
      <c r="A5" s="96" t="s">
        <v>38</v>
      </c>
      <c r="B5" s="96" t="s">
        <v>73</v>
      </c>
      <c r="C5" s="96" t="s">
        <v>25</v>
      </c>
      <c r="D5" s="96" t="s">
        <v>25</v>
      </c>
      <c r="E5" s="96" t="s">
        <v>25</v>
      </c>
      <c r="F5" s="96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26.969000000000001</v>
      </c>
      <c r="Z5" s="13">
        <v>0</v>
      </c>
      <c r="AA5" s="13">
        <v>0</v>
      </c>
      <c r="AB5" s="13"/>
      <c r="AC5" s="13">
        <v>127.0287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3">
      <c r="A6" s="96"/>
      <c r="B6" s="96"/>
      <c r="C6" s="96"/>
      <c r="D6" s="96"/>
      <c r="E6" s="96"/>
      <c r="F6" s="96"/>
      <c r="G6" s="18" t="s">
        <v>76</v>
      </c>
      <c r="H6" s="18" t="s">
        <v>74</v>
      </c>
      <c r="I6" s="18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12.287699999999999</v>
      </c>
      <c r="Z6" s="13">
        <v>0</v>
      </c>
      <c r="AA6" s="13">
        <v>0</v>
      </c>
      <c r="AB6" s="13"/>
      <c r="AC6" s="13">
        <v>32.139499999999998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3">
      <c r="A7" s="96"/>
      <c r="B7" s="96"/>
      <c r="C7" s="96"/>
      <c r="D7" s="96"/>
      <c r="E7" s="96"/>
      <c r="F7" s="96"/>
      <c r="G7" s="18" t="s">
        <v>72</v>
      </c>
      <c r="H7" s="18" t="s">
        <v>68</v>
      </c>
      <c r="I7" s="18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3">
      <c r="A8" s="96"/>
      <c r="B8" s="96"/>
      <c r="C8" s="96"/>
      <c r="D8" s="96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3">
      <c r="A9" s="96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19.742699999999999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3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18" t="s">
        <v>9</v>
      </c>
      <c r="H10" s="18" t="s">
        <v>74</v>
      </c>
      <c r="I10" s="18">
        <f>'MERCADO TUSD'!$U$7</f>
        <v>35589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12.287699999999999</v>
      </c>
      <c r="Z10" s="13">
        <v>0</v>
      </c>
      <c r="AA10" s="13">
        <v>0</v>
      </c>
      <c r="AB10" s="13"/>
      <c r="AC10" s="13">
        <v>32.139499999999998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3">
      <c r="A11" s="96"/>
      <c r="B11" s="96"/>
      <c r="C11" s="96"/>
      <c r="D11" s="96"/>
      <c r="E11" s="96"/>
      <c r="F11" s="96"/>
      <c r="G11" s="18" t="s">
        <v>69</v>
      </c>
      <c r="H11" s="18" t="s">
        <v>68</v>
      </c>
      <c r="I11" s="18">
        <f>'MERCADO TUSD'!$U$8</f>
        <v>1281.3549999999998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648.57899999999995</v>
      </c>
      <c r="Z11" s="13">
        <v>0</v>
      </c>
      <c r="AA11" s="13">
        <v>0</v>
      </c>
      <c r="AB11" s="13"/>
      <c r="AC11" s="13">
        <v>3055.0466000000001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3">
      <c r="A12" s="96"/>
      <c r="B12" s="96"/>
      <c r="C12" s="96"/>
      <c r="D12" s="96"/>
      <c r="E12" s="96"/>
      <c r="F12" s="96"/>
      <c r="G12" s="18" t="s">
        <v>70</v>
      </c>
      <c r="H12" s="18" t="s">
        <v>68</v>
      </c>
      <c r="I12" s="18">
        <f>'MERCADO TUSD'!$U$9</f>
        <v>12598.463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3">
      <c r="A13" s="96"/>
      <c r="B13" s="96"/>
      <c r="C13" s="96"/>
      <c r="D13" s="96"/>
      <c r="E13" s="96" t="s">
        <v>77</v>
      </c>
      <c r="F13" s="96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648.57899999999995</v>
      </c>
      <c r="Z13" s="13">
        <v>0</v>
      </c>
      <c r="AA13" s="13">
        <v>0</v>
      </c>
      <c r="AB13" s="13"/>
      <c r="AC13" s="13">
        <v>3055.0466000000001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3">
      <c r="A14" s="96"/>
      <c r="B14" s="96"/>
      <c r="C14" s="96"/>
      <c r="D14" s="96"/>
      <c r="E14" s="96"/>
      <c r="F14" s="96"/>
      <c r="G14" s="18" t="s">
        <v>70</v>
      </c>
      <c r="H14" s="18" t="s">
        <v>68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3">
      <c r="A15" s="96" t="s">
        <v>79</v>
      </c>
      <c r="B15" s="96" t="s">
        <v>78</v>
      </c>
      <c r="C15" s="96" t="s">
        <v>25</v>
      </c>
      <c r="D15" s="96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4.7972000000000001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3">
      <c r="A16" s="96"/>
      <c r="B16" s="96"/>
      <c r="C16" s="96"/>
      <c r="D16" s="96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26.436199999999999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3">
      <c r="A17" s="96" t="s">
        <v>22</v>
      </c>
      <c r="B17" s="96" t="s">
        <v>33</v>
      </c>
      <c r="C17" s="96" t="s">
        <v>24</v>
      </c>
      <c r="D17" s="96" t="s">
        <v>24</v>
      </c>
      <c r="E17" s="96" t="s">
        <v>25</v>
      </c>
      <c r="F17" s="96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283.2054</v>
      </c>
      <c r="Z17" s="13">
        <v>0</v>
      </c>
      <c r="AA17" s="13">
        <v>0</v>
      </c>
      <c r="AB17" s="13"/>
      <c r="AC17" s="13">
        <v>1093.9149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3">
      <c r="A18" s="96"/>
      <c r="B18" s="96"/>
      <c r="C18" s="96"/>
      <c r="D18" s="96"/>
      <c r="E18" s="96"/>
      <c r="F18" s="96"/>
      <c r="G18" s="18" t="s">
        <v>82</v>
      </c>
      <c r="H18" s="18" t="s">
        <v>68</v>
      </c>
      <c r="I18" s="18">
        <f>'MERCADO TUSD'!$U$15</f>
        <v>0.19500000000000003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169.92429999999999</v>
      </c>
      <c r="Z18" s="13">
        <v>0</v>
      </c>
      <c r="AA18" s="13">
        <v>0</v>
      </c>
      <c r="AB18" s="13"/>
      <c r="AC18" s="13">
        <v>656.34900000000005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3">
      <c r="A19" s="96"/>
      <c r="B19" s="96"/>
      <c r="C19" s="96"/>
      <c r="D19" s="96"/>
      <c r="E19" s="96"/>
      <c r="F19" s="96"/>
      <c r="G19" s="18" t="s">
        <v>70</v>
      </c>
      <c r="H19" s="18" t="s">
        <v>68</v>
      </c>
      <c r="I19" s="18">
        <f>'MERCADO TUSD'!$U$16</f>
        <v>0.51100000000000001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56.6432</v>
      </c>
      <c r="Z19" s="13">
        <v>0</v>
      </c>
      <c r="AA19" s="13">
        <v>0</v>
      </c>
      <c r="AB19" s="13"/>
      <c r="AC19" s="13">
        <v>218.78290000000001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3">
      <c r="A20" s="96"/>
      <c r="B20" s="96" t="s">
        <v>23</v>
      </c>
      <c r="C20" s="96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5284.665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97.652100000000004</v>
      </c>
      <c r="Z20" s="13">
        <v>0</v>
      </c>
      <c r="AA20" s="13">
        <v>0</v>
      </c>
      <c r="AB20" s="13"/>
      <c r="AC20" s="13">
        <v>377.21199999999999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3">
      <c r="A21" s="96"/>
      <c r="B21" s="96"/>
      <c r="C21" s="96"/>
      <c r="D21" s="17" t="s">
        <v>29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53.816000000000003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CUSTOS!$M$24)*97.6521</f>
        <v>97.652100000000004</v>
      </c>
      <c r="Z21" s="13">
        <v>0</v>
      </c>
      <c r="AA21" s="13">
        <v>0</v>
      </c>
      <c r="AB21" s="13"/>
      <c r="AC21" s="13">
        <f>(1 - CUSTOS!$M$24)*377.212</f>
        <v>377.21199999999999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6"/>
      <c r="B22" s="96"/>
      <c r="C22" s="96"/>
      <c r="D22" s="17" t="s">
        <v>30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106.858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CUSTOS!$M$25)*97.6521</f>
        <v>97.652100000000004</v>
      </c>
      <c r="Z22" s="13">
        <v>0</v>
      </c>
      <c r="AA22" s="13">
        <v>0</v>
      </c>
      <c r="AB22" s="13"/>
      <c r="AC22" s="13">
        <f>(1 - CUSTOS!$M$25)*377.212</f>
        <v>377.21199999999999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6"/>
      <c r="B23" s="96"/>
      <c r="C23" s="96"/>
      <c r="D23" s="17" t="s">
        <v>31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84.406000000000006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CUSTOS!$M$26)*97.6521</f>
        <v>97.652100000000004</v>
      </c>
      <c r="Z23" s="13">
        <v>0</v>
      </c>
      <c r="AA23" s="13">
        <v>0</v>
      </c>
      <c r="AB23" s="13"/>
      <c r="AC23" s="13">
        <f>(1 - CUSTOS!$M$26)*377.212</f>
        <v>377.21199999999999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6"/>
      <c r="B24" s="96"/>
      <c r="C24" s="96"/>
      <c r="D24" s="17" t="s">
        <v>32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19.05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CUSTOS!$M$27)*97.6521</f>
        <v>97.652100000000004</v>
      </c>
      <c r="Z24" s="13">
        <v>0</v>
      </c>
      <c r="AA24" s="13">
        <v>0</v>
      </c>
      <c r="AB24" s="13"/>
      <c r="AC24" s="13">
        <f>(1 - CUSTOS!$M$27)*377.212</f>
        <v>377.21199999999999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6"/>
      <c r="B25" s="96" t="s">
        <v>84</v>
      </c>
      <c r="C25" s="96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97.652100000000004</v>
      </c>
      <c r="Z25" s="13">
        <v>0</v>
      </c>
      <c r="AA25" s="13">
        <v>0</v>
      </c>
      <c r="AB25" s="13"/>
      <c r="AC25" s="13">
        <v>377.21199999999999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3">
      <c r="A26" s="96"/>
      <c r="B26" s="96"/>
      <c r="C26" s="96"/>
      <c r="D26" s="17" t="s">
        <v>29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CUSTOS!$M$24)*97.6521</f>
        <v>97.652100000000004</v>
      </c>
      <c r="Z26" s="13">
        <v>0</v>
      </c>
      <c r="AA26" s="13">
        <v>0</v>
      </c>
      <c r="AB26" s="13"/>
      <c r="AC26" s="13">
        <f>(1 - CUSTOS!$M$24)*377.212</f>
        <v>377.21199999999999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6"/>
      <c r="B27" s="96"/>
      <c r="C27" s="96"/>
      <c r="D27" s="17" t="s">
        <v>30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CUSTOS!$M$25)*97.6521</f>
        <v>97.652100000000004</v>
      </c>
      <c r="Z27" s="13">
        <v>0</v>
      </c>
      <c r="AA27" s="13">
        <v>0</v>
      </c>
      <c r="AB27" s="13"/>
      <c r="AC27" s="13">
        <f>(1 - CUSTOS!$M$25)*377.212</f>
        <v>377.21199999999999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6"/>
      <c r="B28" s="96"/>
      <c r="C28" s="96"/>
      <c r="D28" s="17" t="s">
        <v>31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CUSTOS!$M$26)*97.6521</f>
        <v>97.652100000000004</v>
      </c>
      <c r="Z28" s="13">
        <v>0</v>
      </c>
      <c r="AA28" s="13">
        <v>0</v>
      </c>
      <c r="AB28" s="13"/>
      <c r="AC28" s="13">
        <f>(1 - CUSTOS!$M$26)*377.212</f>
        <v>377.21199999999999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6"/>
      <c r="B29" s="96"/>
      <c r="C29" s="96"/>
      <c r="D29" s="17" t="s">
        <v>32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CUSTOS!$M$27)*97.6521</f>
        <v>97.652100000000004</v>
      </c>
      <c r="Z29" s="13">
        <v>0</v>
      </c>
      <c r="AA29" s="13">
        <v>0</v>
      </c>
      <c r="AB29" s="13"/>
      <c r="AC29" s="13">
        <f>(1 - CUSTOS!$M$27)*377.212</f>
        <v>377.21199999999999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6" t="s">
        <v>41</v>
      </c>
      <c r="B30" s="96" t="s">
        <v>33</v>
      </c>
      <c r="C30" s="96" t="s">
        <v>42</v>
      </c>
      <c r="D30" s="96" t="s">
        <v>25</v>
      </c>
      <c r="E30" s="96" t="s">
        <v>25</v>
      </c>
      <c r="F30" s="96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CUSTOS!$M$28)*302.7337</f>
        <v>302.7337</v>
      </c>
      <c r="Z30" s="13">
        <v>0</v>
      </c>
      <c r="AA30" s="13">
        <v>0</v>
      </c>
      <c r="AB30" s="13"/>
      <c r="AC30" s="13">
        <f>(1 - CUSTOS!$M$28)*1169.3572</f>
        <v>1169.3571999999999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6"/>
      <c r="B31" s="96"/>
      <c r="C31" s="96"/>
      <c r="D31" s="96"/>
      <c r="E31" s="96"/>
      <c r="F31" s="96"/>
      <c r="G31" s="18" t="s">
        <v>82</v>
      </c>
      <c r="H31" s="18" t="s">
        <v>68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CUSTOS!$M$28)*181.6434</f>
        <v>181.64340000000001</v>
      </c>
      <c r="Z31" s="13">
        <v>0</v>
      </c>
      <c r="AA31" s="13">
        <v>0</v>
      </c>
      <c r="AB31" s="13"/>
      <c r="AC31" s="13">
        <f>(1 - CUSTOS!$M$28)*701.6144</f>
        <v>701.61440000000005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6"/>
      <c r="B32" s="96"/>
      <c r="C32" s="96"/>
      <c r="D32" s="96"/>
      <c r="E32" s="96"/>
      <c r="F32" s="96"/>
      <c r="G32" s="18" t="s">
        <v>70</v>
      </c>
      <c r="H32" s="18" t="s">
        <v>68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CUSTOS!$M$28)*60.5478</f>
        <v>60.547800000000002</v>
      </c>
      <c r="Z32" s="13">
        <v>0</v>
      </c>
      <c r="AA32" s="13">
        <v>0</v>
      </c>
      <c r="AB32" s="13"/>
      <c r="AC32" s="13">
        <f>(1 - CUSTOS!$M$28)*233.8714</f>
        <v>233.87139999999999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6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1383.9670000000001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CUSTOS!$M$28)*97.6521</f>
        <v>97.652100000000004</v>
      </c>
      <c r="Z33" s="13">
        <v>0</v>
      </c>
      <c r="AA33" s="13">
        <v>0</v>
      </c>
      <c r="AB33" s="13"/>
      <c r="AC33" s="13">
        <f>(1 - CUSTOS!$M$28)*377.212</f>
        <v>377.21199999999999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6"/>
      <c r="B34" s="96" t="s">
        <v>33</v>
      </c>
      <c r="C34" s="96" t="s">
        <v>42</v>
      </c>
      <c r="D34" s="96" t="s">
        <v>85</v>
      </c>
      <c r="E34" s="96" t="s">
        <v>25</v>
      </c>
      <c r="F34" s="96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CUSTOS!$M$29)*302.7337</f>
        <v>302.7337</v>
      </c>
      <c r="Z34" s="13">
        <v>0</v>
      </c>
      <c r="AA34" s="13">
        <v>0</v>
      </c>
      <c r="AB34" s="13"/>
      <c r="AC34" s="13">
        <f>(1 - CUSTOS!$M$29)*1169.3572</f>
        <v>1169.3571999999999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6"/>
      <c r="B35" s="96"/>
      <c r="C35" s="96"/>
      <c r="D35" s="96"/>
      <c r="E35" s="96"/>
      <c r="F35" s="96"/>
      <c r="G35" s="18" t="s">
        <v>82</v>
      </c>
      <c r="H35" s="18" t="s">
        <v>68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CUSTOS!$M$29)*181.6434</f>
        <v>181.64340000000001</v>
      </c>
      <c r="Z35" s="13">
        <v>0</v>
      </c>
      <c r="AA35" s="13">
        <v>0</v>
      </c>
      <c r="AB35" s="13"/>
      <c r="AC35" s="13">
        <f>(1 - CUSTOS!$M$29)*701.6144</f>
        <v>701.61440000000005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6"/>
      <c r="B36" s="96"/>
      <c r="C36" s="96"/>
      <c r="D36" s="96"/>
      <c r="E36" s="96"/>
      <c r="F36" s="96"/>
      <c r="G36" s="18" t="s">
        <v>70</v>
      </c>
      <c r="H36" s="18" t="s">
        <v>68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CUSTOS!$M$29)*60.5478</f>
        <v>60.547800000000002</v>
      </c>
      <c r="Z36" s="13">
        <v>0</v>
      </c>
      <c r="AA36" s="13">
        <v>0</v>
      </c>
      <c r="AB36" s="13"/>
      <c r="AC36" s="13">
        <f>(1 - CUSTOS!$M$29)*233.8714</f>
        <v>233.87139999999999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6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CUSTOS!$M$29)*97.6521</f>
        <v>97.652100000000004</v>
      </c>
      <c r="Z37" s="13">
        <v>0</v>
      </c>
      <c r="AA37" s="13">
        <v>0</v>
      </c>
      <c r="AB37" s="13"/>
      <c r="AC37" s="13">
        <f>(1 - CUSTOS!$M$29)*377.212</f>
        <v>377.21199999999999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6"/>
      <c r="B38" s="96" t="s">
        <v>33</v>
      </c>
      <c r="C38" s="96" t="s">
        <v>42</v>
      </c>
      <c r="D38" s="96" t="s">
        <v>86</v>
      </c>
      <c r="E38" s="96" t="s">
        <v>25</v>
      </c>
      <c r="F38" s="96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CUSTOS!$M$30)*302.7337</f>
        <v>302.7337</v>
      </c>
      <c r="Z38" s="13">
        <v>0</v>
      </c>
      <c r="AA38" s="13">
        <v>0</v>
      </c>
      <c r="AB38" s="13"/>
      <c r="AC38" s="13">
        <f>(1 - CUSTOS!$M$30)*1169.3572</f>
        <v>1169.3571999999999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6"/>
      <c r="B39" s="96"/>
      <c r="C39" s="96"/>
      <c r="D39" s="96"/>
      <c r="E39" s="96"/>
      <c r="F39" s="96"/>
      <c r="G39" s="18" t="s">
        <v>82</v>
      </c>
      <c r="H39" s="18" t="s">
        <v>68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CUSTOS!$M$30)*181.6434</f>
        <v>181.64340000000001</v>
      </c>
      <c r="Z39" s="13">
        <v>0</v>
      </c>
      <c r="AA39" s="13">
        <v>0</v>
      </c>
      <c r="AB39" s="13"/>
      <c r="AC39" s="13">
        <f>(1 - CUSTOS!$M$30)*701.6144</f>
        <v>701.61440000000005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6"/>
      <c r="B40" s="96"/>
      <c r="C40" s="96"/>
      <c r="D40" s="96"/>
      <c r="E40" s="96"/>
      <c r="F40" s="96"/>
      <c r="G40" s="18" t="s">
        <v>70</v>
      </c>
      <c r="H40" s="18" t="s">
        <v>68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CUSTOS!$M$30)*60.5478</f>
        <v>60.547800000000002</v>
      </c>
      <c r="Z40" s="13">
        <v>0</v>
      </c>
      <c r="AA40" s="13">
        <v>0</v>
      </c>
      <c r="AB40" s="13"/>
      <c r="AC40" s="13">
        <f>(1 - CUSTOS!$M$30)*233.8714</f>
        <v>233.87139999999999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6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CUSTOS!$M$30)*97.6521</f>
        <v>97.652100000000004</v>
      </c>
      <c r="Z41" s="13">
        <v>0</v>
      </c>
      <c r="AA41" s="13">
        <v>0</v>
      </c>
      <c r="AB41" s="13"/>
      <c r="AC41" s="13">
        <f>(1 - CUSTOS!$M$30)*377.212</f>
        <v>377.21199999999999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6"/>
      <c r="B42" s="96" t="s">
        <v>84</v>
      </c>
      <c r="C42" s="96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CUSTOS!$M$28)*97.6521</f>
        <v>97.652100000000004</v>
      </c>
      <c r="Z42" s="13">
        <v>0</v>
      </c>
      <c r="AA42" s="13">
        <v>0</v>
      </c>
      <c r="AB42" s="13"/>
      <c r="AC42" s="13">
        <f>(1 - CUSTOS!$M$28)*377.212</f>
        <v>377.21199999999999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6"/>
      <c r="B43" s="96"/>
      <c r="C43" s="96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CUSTOS!$M$29)*97.6521</f>
        <v>97.652100000000004</v>
      </c>
      <c r="Z43" s="13">
        <v>0</v>
      </c>
      <c r="AA43" s="13">
        <v>0</v>
      </c>
      <c r="AB43" s="13"/>
      <c r="AC43" s="13">
        <f>(1 - CUSTOS!$M$29)*377.212</f>
        <v>377.21199999999999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6"/>
      <c r="B44" s="96"/>
      <c r="C44" s="96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CUSTOS!$M$30)*97.6521</f>
        <v>97.652100000000004</v>
      </c>
      <c r="Z44" s="13">
        <v>0</v>
      </c>
      <c r="AA44" s="13">
        <v>0</v>
      </c>
      <c r="AB44" s="13"/>
      <c r="AC44" s="13">
        <f>(1 - CUSTOS!$M$30)*377.212</f>
        <v>377.21199999999999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6" t="s">
        <v>36</v>
      </c>
      <c r="B45" s="96" t="s">
        <v>33</v>
      </c>
      <c r="C45" s="96" t="s">
        <v>25</v>
      </c>
      <c r="D45" s="96" t="s">
        <v>25</v>
      </c>
      <c r="E45" s="96" t="s">
        <v>25</v>
      </c>
      <c r="F45" s="96" t="s">
        <v>25</v>
      </c>
      <c r="G45" s="18" t="s">
        <v>69</v>
      </c>
      <c r="H45" s="18" t="s">
        <v>68</v>
      </c>
      <c r="I45" s="18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CUSTOS!$M$31)*312.4952</f>
        <v>312.49520000000001</v>
      </c>
      <c r="Z45" s="13">
        <v>0</v>
      </c>
      <c r="AA45" s="13">
        <v>0</v>
      </c>
      <c r="AB45" s="13"/>
      <c r="AC45" s="13">
        <f>(1 - CUSTOS!$M$31)*1207.0785</f>
        <v>1207.0785000000001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6"/>
      <c r="B46" s="96"/>
      <c r="C46" s="96"/>
      <c r="D46" s="96"/>
      <c r="E46" s="96"/>
      <c r="F46" s="96"/>
      <c r="G46" s="18" t="s">
        <v>82</v>
      </c>
      <c r="H46" s="18" t="s">
        <v>68</v>
      </c>
      <c r="I46" s="18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CUSTOS!$M$31)*187.5003</f>
        <v>187.50030000000001</v>
      </c>
      <c r="Z46" s="13">
        <v>0</v>
      </c>
      <c r="AA46" s="13">
        <v>0</v>
      </c>
      <c r="AB46" s="13"/>
      <c r="AC46" s="13">
        <f>(1 - CUSTOS!$M$31)*724.2469</f>
        <v>724.24689999999998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6"/>
      <c r="B47" s="96"/>
      <c r="C47" s="96"/>
      <c r="D47" s="96"/>
      <c r="E47" s="96"/>
      <c r="F47" s="96"/>
      <c r="G47" s="18" t="s">
        <v>70</v>
      </c>
      <c r="H47" s="18" t="s">
        <v>68</v>
      </c>
      <c r="I47" s="18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CUSTOS!$M$31)*62.5001</f>
        <v>62.500100000000003</v>
      </c>
      <c r="Z47" s="13">
        <v>0</v>
      </c>
      <c r="AA47" s="13">
        <v>0</v>
      </c>
      <c r="AB47" s="13"/>
      <c r="AC47" s="13">
        <f>(1 - CUSTOS!$M$31)*241.4157</f>
        <v>241.41569999999999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6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643.45600000000002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CUSTOS!$M$31)*97.6521</f>
        <v>97.652100000000004</v>
      </c>
      <c r="Z48" s="13">
        <v>0</v>
      </c>
      <c r="AA48" s="13">
        <v>0</v>
      </c>
      <c r="AB48" s="13"/>
      <c r="AC48" s="13">
        <f>(1 - CUSTOS!$M$31)*377.212</f>
        <v>377.21199999999999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6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CUSTOS!$M$31)*97.6521</f>
        <v>97.652100000000004</v>
      </c>
      <c r="Z49" s="13">
        <v>0</v>
      </c>
      <c r="AA49" s="13">
        <v>0</v>
      </c>
      <c r="AB49" s="13"/>
      <c r="AC49" s="13">
        <f>(1 - CUSTOS!$M$31)*377.212</f>
        <v>377.21199999999999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6" t="s">
        <v>44</v>
      </c>
      <c r="B50" s="96" t="s">
        <v>23</v>
      </c>
      <c r="C50" s="96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546.72599999999989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CUSTOS!$M$32)*97.6521</f>
        <v>53.708655000000007</v>
      </c>
      <c r="Z50" s="13">
        <v>0</v>
      </c>
      <c r="AA50" s="13">
        <v>0</v>
      </c>
      <c r="AB50" s="13"/>
      <c r="AC50" s="13">
        <f>(1 - CUSTOS!$M$32)*377.212</f>
        <v>207.4666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6"/>
      <c r="B51" s="96"/>
      <c r="C51" s="96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CUSTOS!$M$33)*97.6521</f>
        <v>58.591259999999998</v>
      </c>
      <c r="Z51" s="13">
        <v>0</v>
      </c>
      <c r="AA51" s="13">
        <v>0</v>
      </c>
      <c r="AB51" s="13"/>
      <c r="AC51" s="13">
        <f>(1 - CUSTOS!$M$33)*377.212</f>
        <v>226.32719999999998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321C-EEF8-42C6-834C-30C302FD0DC0}">
  <dimension ref="A1:AP70"/>
  <sheetViews>
    <sheetView showGridLines="0" topLeftCell="C35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7.6640625" style="9" bestFit="1" customWidth="1"/>
    <col min="10" max="10" width="8.88671875" style="9"/>
    <col min="11" max="11" width="14.109375" style="9" bestFit="1" customWidth="1"/>
    <col min="12" max="12" width="13" style="9" bestFit="1" customWidth="1"/>
    <col min="13" max="13" width="10.109375" style="9" bestFit="1" customWidth="1"/>
    <col min="14" max="14" width="11.33203125" style="9" bestFit="1" customWidth="1"/>
    <col min="15" max="16" width="8.77734375" style="9" bestFit="1" customWidth="1"/>
    <col min="17" max="17" width="9.6640625" style="9" bestFit="1" customWidth="1"/>
    <col min="18" max="19" width="8.44140625" style="9" bestFit="1" customWidth="1"/>
    <col min="20" max="20" width="9.6640625" style="9" bestFit="1" customWidth="1"/>
    <col min="21" max="21" width="7.21875" style="9" bestFit="1" customWidth="1"/>
    <col min="22" max="22" width="7.109375" style="9" bestFit="1" customWidth="1"/>
    <col min="23" max="24" width="9.5546875" style="9" bestFit="1" customWidth="1"/>
    <col min="25" max="25" width="9.6640625" style="9" bestFit="1" customWidth="1"/>
    <col min="26" max="26" width="7.44140625" style="9" bestFit="1" customWidth="1"/>
    <col min="27" max="27" width="9.5546875" style="9" bestFit="1" customWidth="1"/>
    <col min="28" max="28" width="9.6640625" style="9" bestFit="1" customWidth="1"/>
    <col min="29" max="29" width="11.33203125" style="9" bestFit="1" customWidth="1"/>
    <col min="30" max="30" width="10.21875" style="9" bestFit="1" customWidth="1"/>
    <col min="31" max="31" width="7.77734375" style="9" bestFit="1" customWidth="1"/>
    <col min="32" max="32" width="7.109375" style="9" bestFit="1" customWidth="1"/>
    <col min="33" max="33" width="9" style="9" bestFit="1" customWidth="1"/>
    <col min="34" max="34" width="14.88671875" style="9" bestFit="1" customWidth="1"/>
    <col min="35" max="35" width="17.5546875" style="9" bestFit="1" customWidth="1"/>
    <col min="36" max="36" width="18.5546875" style="9" bestFit="1" customWidth="1"/>
    <col min="37" max="37" width="3.88671875" style="9" bestFit="1" customWidth="1"/>
    <col min="38" max="38" width="9" style="9" bestFit="1" customWidth="1"/>
    <col min="39" max="39" width="10.5546875" style="9" bestFit="1" customWidth="1"/>
    <col min="40" max="41" width="8.88671875" style="9"/>
    <col min="42" max="42" width="7.6640625" style="9" bestFit="1" customWidth="1"/>
    <col min="43" max="16384" width="8.88671875" style="9"/>
  </cols>
  <sheetData>
    <row r="1" spans="1:42" ht="11.25" customHeight="1" x14ac:dyDescent="0.3">
      <c r="A1" s="97" t="s">
        <v>58</v>
      </c>
      <c r="B1" s="97" t="s">
        <v>59</v>
      </c>
      <c r="C1" s="97" t="s">
        <v>60</v>
      </c>
      <c r="D1" s="97" t="s">
        <v>61</v>
      </c>
      <c r="E1" s="97" t="s">
        <v>62</v>
      </c>
      <c r="F1" s="97" t="s">
        <v>15</v>
      </c>
      <c r="G1" s="97" t="s">
        <v>64</v>
      </c>
      <c r="H1" s="97" t="s">
        <v>65</v>
      </c>
      <c r="I1" s="97" t="s">
        <v>496</v>
      </c>
      <c r="J1" s="94"/>
      <c r="L1" s="98" t="s">
        <v>497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P1" s="98" t="s">
        <v>498</v>
      </c>
    </row>
    <row r="2" spans="1:42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94"/>
      <c r="L2" s="98" t="s">
        <v>395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P2" s="99"/>
    </row>
    <row r="3" spans="1:42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94"/>
      <c r="L3" s="98" t="s">
        <v>396</v>
      </c>
      <c r="M3" s="98"/>
      <c r="N3" s="98"/>
      <c r="O3" s="98"/>
      <c r="P3" s="98"/>
      <c r="Q3" s="98"/>
      <c r="R3" s="98"/>
      <c r="S3" s="98"/>
      <c r="T3" s="98"/>
      <c r="U3" s="98" t="s">
        <v>405</v>
      </c>
      <c r="V3" s="98"/>
      <c r="W3" s="98"/>
      <c r="X3" s="98"/>
      <c r="Y3" s="98"/>
      <c r="Z3" s="98"/>
      <c r="AA3" s="98"/>
      <c r="AB3" s="98"/>
      <c r="AC3" s="98" t="s">
        <v>413</v>
      </c>
      <c r="AD3" s="98"/>
      <c r="AE3" s="98" t="s">
        <v>415</v>
      </c>
      <c r="AF3" s="98"/>
      <c r="AG3" s="98"/>
      <c r="AH3" s="98" t="s">
        <v>418</v>
      </c>
      <c r="AI3" s="98"/>
      <c r="AJ3" s="98"/>
      <c r="AK3" s="98"/>
      <c r="AL3" s="98"/>
      <c r="AM3" s="98" t="s">
        <v>404</v>
      </c>
      <c r="AP3" s="99"/>
    </row>
    <row r="4" spans="1:42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94"/>
      <c r="L4" s="10" t="s">
        <v>481</v>
      </c>
      <c r="M4" s="10" t="s">
        <v>397</v>
      </c>
      <c r="N4" s="10" t="s">
        <v>398</v>
      </c>
      <c r="O4" s="10" t="s">
        <v>399</v>
      </c>
      <c r="P4" s="10" t="s">
        <v>400</v>
      </c>
      <c r="Q4" s="10" t="s">
        <v>401</v>
      </c>
      <c r="R4" s="10" t="s">
        <v>402</v>
      </c>
      <c r="S4" s="10" t="s">
        <v>403</v>
      </c>
      <c r="T4" s="10" t="s">
        <v>404</v>
      </c>
      <c r="U4" s="10" t="s">
        <v>406</v>
      </c>
      <c r="V4" s="10" t="s">
        <v>407</v>
      </c>
      <c r="W4" s="10" t="s">
        <v>408</v>
      </c>
      <c r="X4" s="10" t="s">
        <v>409</v>
      </c>
      <c r="Y4" s="10" t="s">
        <v>410</v>
      </c>
      <c r="Z4" s="10" t="s">
        <v>411</v>
      </c>
      <c r="AA4" s="10" t="s">
        <v>412</v>
      </c>
      <c r="AB4" s="10" t="s">
        <v>404</v>
      </c>
      <c r="AC4" s="10" t="s">
        <v>414</v>
      </c>
      <c r="AD4" s="10" t="s">
        <v>404</v>
      </c>
      <c r="AE4" s="10" t="s">
        <v>416</v>
      </c>
      <c r="AF4" s="10" t="s">
        <v>417</v>
      </c>
      <c r="AG4" s="10" t="s">
        <v>404</v>
      </c>
      <c r="AH4" s="10" t="s">
        <v>419</v>
      </c>
      <c r="AI4" s="10" t="s">
        <v>420</v>
      </c>
      <c r="AJ4" s="10" t="s">
        <v>421</v>
      </c>
      <c r="AK4" s="10" t="s">
        <v>422</v>
      </c>
      <c r="AL4" s="10" t="s">
        <v>404</v>
      </c>
      <c r="AM4" s="100"/>
      <c r="AP4" s="99"/>
    </row>
    <row r="5" spans="1:42" ht="11.25" customHeight="1" x14ac:dyDescent="0.3">
      <c r="A5" s="96" t="s">
        <v>38</v>
      </c>
      <c r="B5" s="96" t="s">
        <v>73</v>
      </c>
      <c r="C5" s="96" t="s">
        <v>25</v>
      </c>
      <c r="D5" s="96" t="s">
        <v>25</v>
      </c>
      <c r="E5" s="96" t="s">
        <v>25</v>
      </c>
      <c r="F5" s="96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26.969000000000001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127.0287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3">
      <c r="A6" s="96"/>
      <c r="B6" s="96"/>
      <c r="C6" s="96"/>
      <c r="D6" s="96"/>
      <c r="E6" s="96"/>
      <c r="F6" s="96"/>
      <c r="G6" s="18" t="s">
        <v>76</v>
      </c>
      <c r="H6" s="18" t="s">
        <v>74</v>
      </c>
      <c r="I6" s="18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12.287699999999999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32.139499999999998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3">
      <c r="A7" s="96"/>
      <c r="B7" s="96"/>
      <c r="C7" s="96"/>
      <c r="D7" s="96"/>
      <c r="E7" s="96"/>
      <c r="F7" s="96"/>
      <c r="G7" s="18" t="s">
        <v>72</v>
      </c>
      <c r="H7" s="18" t="s">
        <v>68</v>
      </c>
      <c r="I7" s="18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1.4683232364948349</v>
      </c>
      <c r="N7" s="13">
        <f ca="1">(+M7+O7+R7+U7+V7+W7+X7+Y7+Z7+AA7+AC7+AH7+AI7+AJ7+AK7)*CUSTOS!$M$5</f>
        <v>2.7042923236494834E-13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11.7873</v>
      </c>
      <c r="AI7" s="13">
        <v>11.7873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3">
      <c r="A8" s="96"/>
      <c r="B8" s="96"/>
      <c r="C8" s="96"/>
      <c r="D8" s="96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1.4683232364948349</v>
      </c>
      <c r="N8" s="13">
        <f ca="1">(+M8+O8+R8+U8+V8+W8+X8+Y8+Z8+AA8+AC8+AH8+AI8+AJ8+AK8)*CUSTOS!$M$5</f>
        <v>2.6042923236494838E-13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11.7873</v>
      </c>
      <c r="AI8" s="13">
        <v>11.7873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3">
      <c r="A9" s="96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v>0</v>
      </c>
      <c r="M9" s="13">
        <v>3.0700000000000002E-2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19.742699999999999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3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18" t="s">
        <v>9</v>
      </c>
      <c r="H10" s="18" t="s">
        <v>74</v>
      </c>
      <c r="I10" s="18">
        <f>'MERCADO TUSD'!$U$7</f>
        <v>35589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12.287699999999999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32.139499999999998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3">
      <c r="A11" s="96"/>
      <c r="B11" s="96"/>
      <c r="C11" s="96"/>
      <c r="D11" s="96"/>
      <c r="E11" s="96"/>
      <c r="F11" s="96"/>
      <c r="G11" s="18" t="s">
        <v>69</v>
      </c>
      <c r="H11" s="18" t="s">
        <v>68</v>
      </c>
      <c r="I11" s="18">
        <f>'MERCADO TUSD'!$U$8</f>
        <v>1281.3549999999998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1.4683232364948349</v>
      </c>
      <c r="N11" s="13">
        <f ca="1">(+M11+O11+R11+U11+V11+W11+X11+Y11+Z11+AA11+AC11+AH11+AI11+AJ11+AK11)*CUSTOS!$M$5</f>
        <v>3.7306685232364951E-11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648.57899999999995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3055.0466000000001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11.7873</v>
      </c>
      <c r="AI11" s="13">
        <v>11.7873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3">
      <c r="A12" s="96"/>
      <c r="B12" s="96"/>
      <c r="C12" s="96"/>
      <c r="D12" s="96"/>
      <c r="E12" s="96"/>
      <c r="F12" s="96"/>
      <c r="G12" s="18" t="s">
        <v>70</v>
      </c>
      <c r="H12" s="18" t="s">
        <v>68</v>
      </c>
      <c r="I12" s="18">
        <f>'MERCADO TUSD'!$U$9</f>
        <v>12598.463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1.4683232364948349</v>
      </c>
      <c r="N12" s="13">
        <f ca="1">(+M12+O12+R12+U12+V12+W12+X12+Y12+Z12+AA12+AC12+AH12+AI12+AJ12+AK12)*CUSTOS!$M$5</f>
        <v>2.7042923236494834E-13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11.7873</v>
      </c>
      <c r="AI12" s="13">
        <v>11.7873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3">
      <c r="A13" s="96"/>
      <c r="B13" s="96"/>
      <c r="C13" s="96"/>
      <c r="D13" s="96"/>
      <c r="E13" s="96" t="s">
        <v>77</v>
      </c>
      <c r="F13" s="96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1.4683232364948349</v>
      </c>
      <c r="N13" s="13">
        <f ca="1">(+M13+O13+R13+U13+V13+W13+X13+Y13+Z13+AA13+AC13+AH13+AI13+AJ13+AK13)*CUSTOS!$M$5</f>
        <v>3.729668523236495E-11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648.57899999999995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3055.0466000000001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11.7873</v>
      </c>
      <c r="AI13" s="13">
        <v>11.7873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3">
      <c r="A14" s="96"/>
      <c r="B14" s="96"/>
      <c r="C14" s="96"/>
      <c r="D14" s="96"/>
      <c r="E14" s="96"/>
      <c r="F14" s="96"/>
      <c r="G14" s="18" t="s">
        <v>70</v>
      </c>
      <c r="H14" s="18" t="s">
        <v>68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1.4683232364948349</v>
      </c>
      <c r="N14" s="13">
        <f ca="1">(+M14+O14+R14+U14+V14+W14+X14+Y14+Z14+AA14+AC14+AH14+AI14+AJ14+AK14)*CUSTOS!$M$5</f>
        <v>2.6042923236494838E-13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11.7873</v>
      </c>
      <c r="AI14" s="13">
        <v>11.7873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3">
      <c r="A15" s="96" t="s">
        <v>79</v>
      </c>
      <c r="B15" s="96" t="s">
        <v>78</v>
      </c>
      <c r="C15" s="96" t="s">
        <v>25</v>
      </c>
      <c r="D15" s="96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v>0</v>
      </c>
      <c r="M15" s="13">
        <v>5.1999999999999998E-3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4.7972000000000001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3">
      <c r="A16" s="96"/>
      <c r="B16" s="96"/>
      <c r="C16" s="96"/>
      <c r="D16" s="96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v>0</v>
      </c>
      <c r="M16" s="13">
        <v>5.1999999999999998E-3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26.436199999999999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3">
      <c r="A17" s="96" t="s">
        <v>22</v>
      </c>
      <c r="B17" s="96" t="s">
        <v>33</v>
      </c>
      <c r="C17" s="96" t="s">
        <v>24</v>
      </c>
      <c r="D17" s="96" t="s">
        <v>24</v>
      </c>
      <c r="E17" s="96" t="s">
        <v>25</v>
      </c>
      <c r="F17" s="96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1.5197529438118627</v>
      </c>
      <c r="N17" s="13">
        <f ca="1">(+M17+O17+R17+U17+V17+W17+X17+Y17+Z17+AA17+AC17+AH17+AI17+AJ17+AK17)*CUSTOS!$M$5</f>
        <v>1.4476846529438121E-11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283.2054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1093.9149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33.522300000000001</v>
      </c>
      <c r="AI17" s="13">
        <v>33.522300000000001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3">
      <c r="A18" s="96"/>
      <c r="B18" s="96"/>
      <c r="C18" s="96"/>
      <c r="D18" s="96"/>
      <c r="E18" s="96"/>
      <c r="F18" s="96"/>
      <c r="G18" s="18" t="s">
        <v>82</v>
      </c>
      <c r="H18" s="18" t="s">
        <v>68</v>
      </c>
      <c r="I18" s="18">
        <f>'MERCADO TUSD'!$U$15</f>
        <v>0.19500000000000003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1.5197529438118627</v>
      </c>
      <c r="N18" s="13">
        <f ca="1">(+M18+O18+R18+U18+V18+W18+X18+Y18+Z18+AA18+AC18+AH18+AI18+AJ18+AK18)*CUSTOS!$M$5</f>
        <v>8.9683765294381178E-12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169.92429999999999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656.34900000000005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33.522300000000001</v>
      </c>
      <c r="AI18" s="13">
        <v>33.522300000000001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3">
      <c r="A19" s="96"/>
      <c r="B19" s="96"/>
      <c r="C19" s="96"/>
      <c r="D19" s="96"/>
      <c r="E19" s="96"/>
      <c r="F19" s="96"/>
      <c r="G19" s="18" t="s">
        <v>70</v>
      </c>
      <c r="H19" s="18" t="s">
        <v>68</v>
      </c>
      <c r="I19" s="18">
        <f>'MERCADO TUSD'!$U$16</f>
        <v>0.51100000000000001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1.5197529438118627</v>
      </c>
      <c r="N19" s="13">
        <f ca="1">(+M19+O19+R19+U19+V19+W19+X19+Y19+Z19+AA19+AC19+AH19+AI19+AJ19+AK19)*CUSTOS!$M$5</f>
        <v>3.4599045294381188E-12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56.6432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218.78290000000001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33.522300000000001</v>
      </c>
      <c r="AI19" s="13">
        <v>33.522300000000001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3">
      <c r="A20" s="96"/>
      <c r="B20" s="96" t="s">
        <v>23</v>
      </c>
      <c r="C20" s="96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5284.665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1.5197529438118627</v>
      </c>
      <c r="N20" s="13">
        <f ca="1">(+M20+O20+R20+U20+V20+W20+X20+Y20+Z20+AA20+AC20+AH20+AI20+AJ20+AK20)*CUSTOS!$M$5</f>
        <v>5.4542845294381183E-12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97.652100000000004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377.21199999999999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33.522300000000001</v>
      </c>
      <c r="AI20" s="13">
        <v>33.522300000000001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3">
      <c r="A21" s="96"/>
      <c r="B21" s="96"/>
      <c r="C21" s="96"/>
      <c r="D21" s="17" t="s">
        <v>29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53.816000000000003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1.5197529438118627</v>
      </c>
      <c r="N21" s="13">
        <f ca="1">(+M21+O21+R21+U21+V21+W21+X21+Y21+Z21+AA21+AC21+AH21+AI21+AJ21+AK21)*CUSTOS!$M$5</f>
        <v>5.4442845294381189E-12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97.652100000000004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377.21199999999999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CUSTOS!$M$24)*33.5223</f>
        <v>33.522300000000001</v>
      </c>
      <c r="AI21" s="13">
        <f>(1 - CUSTOS!$M$24)*33.5223</f>
        <v>33.522300000000001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6"/>
      <c r="B22" s="96"/>
      <c r="C22" s="96"/>
      <c r="D22" s="17" t="s">
        <v>30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106.858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1.5197529438118627</v>
      </c>
      <c r="N22" s="13">
        <f ca="1">(+M22+O22+R22+U22+V22+W22+X22+Y22+Z22+AA22+AC22+AH22+AI22+AJ22+AK22)*CUSTOS!$M$5</f>
        <v>5.4442845294381189E-12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97.652100000000004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377.21199999999999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CUSTOS!$M$25)*33.5223</f>
        <v>33.522300000000001</v>
      </c>
      <c r="AI22" s="13">
        <f>(1 - CUSTOS!$M$25)*33.5223</f>
        <v>33.522300000000001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6"/>
      <c r="B23" s="96"/>
      <c r="C23" s="96"/>
      <c r="D23" s="17" t="s">
        <v>31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84.406000000000006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1.5197529438118627</v>
      </c>
      <c r="N23" s="13">
        <f ca="1">(+M23+O23+R23+U23+V23+W23+X23+Y23+Z23+AA23+AC23+AH23+AI23+AJ23+AK23)*CUSTOS!$M$5</f>
        <v>5.4442845294381189E-12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97.652100000000004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377.21199999999999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CUSTOS!$M$26)*33.5223</f>
        <v>33.522300000000001</v>
      </c>
      <c r="AI23" s="13">
        <f>(1 - CUSTOS!$M$26)*33.5223</f>
        <v>33.522300000000001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6"/>
      <c r="B24" s="96"/>
      <c r="C24" s="96"/>
      <c r="D24" s="17" t="s">
        <v>32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19.05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1.5197529438118627</v>
      </c>
      <c r="N24" s="13">
        <f ca="1">(+M24+O24+R24+U24+V24+W24+X24+Y24+Z24+AA24+AC24+AH24+AI24+AJ24+AK24)*CUSTOS!$M$5</f>
        <v>5.4442845294381189E-12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97.652100000000004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377.21199999999999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CUSTOS!$M$27)*33.5223</f>
        <v>33.522300000000001</v>
      </c>
      <c r="AI24" s="13">
        <f>(1 - CUSTOS!$M$27)*33.5223</f>
        <v>33.522300000000001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6"/>
      <c r="B25" s="96" t="s">
        <v>84</v>
      </c>
      <c r="C25" s="96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1.5197529438118627</v>
      </c>
      <c r="N25" s="13">
        <f ca="1">(+M25+O25+R25+U25+V25+W25+X25+Y25+Z25+AA25+AC25+AH25+AI25+AJ25+AK25)*CUSTOS!$M$5</f>
        <v>5.4542845294381183E-12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97.652100000000004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377.21199999999999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33.522300000000001</v>
      </c>
      <c r="AI25" s="13">
        <v>33.522300000000001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3">
      <c r="A26" s="96"/>
      <c r="B26" s="96"/>
      <c r="C26" s="96"/>
      <c r="D26" s="17" t="s">
        <v>29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1.5197529438118627</v>
      </c>
      <c r="N26" s="13">
        <f ca="1">(+M26+O26+R26+U26+V26+W26+X26+Y26+Z26+AA26+AC26+AH26+AI26+AJ26+AK26)*CUSTOS!$M$5</f>
        <v>5.4442845294381189E-12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97.652100000000004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377.21199999999999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CUSTOS!$M$24)*33.5223</f>
        <v>33.522300000000001</v>
      </c>
      <c r="AI26" s="13">
        <f>(1 - CUSTOS!$M$24)*33.5223</f>
        <v>33.522300000000001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6"/>
      <c r="B27" s="96"/>
      <c r="C27" s="96"/>
      <c r="D27" s="17" t="s">
        <v>30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1.5197529438118627</v>
      </c>
      <c r="N27" s="13">
        <f ca="1">(+M27+O27+R27+U27+V27+W27+X27+Y27+Z27+AA27+AC27+AH27+AI27+AJ27+AK27)*CUSTOS!$M$5</f>
        <v>5.4442845294381189E-12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97.652100000000004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377.21199999999999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CUSTOS!$M$25)*33.5223</f>
        <v>33.522300000000001</v>
      </c>
      <c r="AI27" s="13">
        <f>(1 - CUSTOS!$M$25)*33.5223</f>
        <v>33.522300000000001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6"/>
      <c r="B28" s="96"/>
      <c r="C28" s="96"/>
      <c r="D28" s="17" t="s">
        <v>31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1.5197529438118627</v>
      </c>
      <c r="N28" s="13">
        <f ca="1">(+M28+O28+R28+U28+V28+W28+X28+Y28+Z28+AA28+AC28+AH28+AI28+AJ28+AK28)*CUSTOS!$M$5</f>
        <v>5.4442845294381189E-12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97.652100000000004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377.21199999999999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CUSTOS!$M$26)*33.5223</f>
        <v>33.522300000000001</v>
      </c>
      <c r="AI28" s="13">
        <f>(1 - CUSTOS!$M$26)*33.5223</f>
        <v>33.522300000000001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6"/>
      <c r="B29" s="96"/>
      <c r="C29" s="96"/>
      <c r="D29" s="17" t="s">
        <v>32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1.5197529438118627</v>
      </c>
      <c r="N29" s="13">
        <f ca="1">(+M29+O29+R29+U29+V29+W29+X29+Y29+Z29+AA29+AC29+AH29+AI29+AJ29+AK29)*CUSTOS!$M$5</f>
        <v>5.4442845294381189E-12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97.652100000000004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377.21199999999999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CUSTOS!$M$27)*33.5223</f>
        <v>33.522300000000001</v>
      </c>
      <c r="AI29" s="13">
        <f>(1 - CUSTOS!$M$27)*33.5223</f>
        <v>33.522300000000001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6" t="s">
        <v>41</v>
      </c>
      <c r="B30" s="96" t="s">
        <v>33</v>
      </c>
      <c r="C30" s="96" t="s">
        <v>42</v>
      </c>
      <c r="D30" s="96" t="s">
        <v>25</v>
      </c>
      <c r="E30" s="96" t="s">
        <v>25</v>
      </c>
      <c r="F30" s="96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1.5197529438118627</v>
      </c>
      <c r="N30" s="13">
        <f ca="1">(+M30+O30+R30+U30+V30+W30+X30+Y30+Z30+AA30+AC30+AH30+AI30+AJ30+AK30)*CUSTOS!$M$5</f>
        <v>1.5426552529438119E-11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302.7337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1169.3571999999999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CUSTOS!$M$28)*33.5223</f>
        <v>33.522300000000001</v>
      </c>
      <c r="AI30" s="13">
        <f>(1 - CUSTOS!$M$28)*33.5223</f>
        <v>33.522300000000001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6"/>
      <c r="B31" s="96"/>
      <c r="C31" s="96"/>
      <c r="D31" s="96"/>
      <c r="E31" s="96"/>
      <c r="F31" s="96"/>
      <c r="G31" s="18" t="s">
        <v>82</v>
      </c>
      <c r="H31" s="18" t="s">
        <v>68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1.5197529438118627</v>
      </c>
      <c r="N31" s="13">
        <f ca="1">(+M31+O31+R31+U31+V31+W31+X31+Y31+Z31+AA31+AC31+AH31+AI31+AJ31+AK31)*CUSTOS!$M$5</f>
        <v>9.5382215294381182E-12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181.64340000000001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701.61440000000005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CUSTOS!$M$28)*33.5223</f>
        <v>33.522300000000001</v>
      </c>
      <c r="AI31" s="13">
        <f>(1 - CUSTOS!$M$28)*33.5223</f>
        <v>33.522300000000001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6"/>
      <c r="B32" s="96"/>
      <c r="C32" s="96"/>
      <c r="D32" s="96"/>
      <c r="E32" s="96"/>
      <c r="F32" s="96"/>
      <c r="G32" s="18" t="s">
        <v>70</v>
      </c>
      <c r="H32" s="18" t="s">
        <v>68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1.5197529438118627</v>
      </c>
      <c r="N32" s="13">
        <f ca="1">(+M32+O32+R32+U32+V32+W32+X32+Y32+Z32+AA32+AC32+AH32+AI32+AJ32+AK32)*CUSTOS!$M$5</f>
        <v>3.6498355294381176E-12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60.547800000000002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233.87139999999999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CUSTOS!$M$28)*33.5223</f>
        <v>33.522300000000001</v>
      </c>
      <c r="AI32" s="13">
        <f>(1 - CUSTOS!$M$28)*33.5223</f>
        <v>33.522300000000001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6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1383.9670000000001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1.5197529438118627</v>
      </c>
      <c r="N33" s="13">
        <f ca="1">(+M33+O33+R33+U33+V33+W33+X33+Y33+Z33+AA33+AC33+AH33+AI33+AJ33+AK33)*CUSTOS!$M$5</f>
        <v>5.4542845294381183E-12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97.652100000000004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377.21199999999999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CUSTOS!$M$28)*33.5223</f>
        <v>33.522300000000001</v>
      </c>
      <c r="AI33" s="13">
        <f>(1 - CUSTOS!$M$28)*33.5223</f>
        <v>33.522300000000001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6"/>
      <c r="B34" s="96" t="s">
        <v>33</v>
      </c>
      <c r="C34" s="96" t="s">
        <v>42</v>
      </c>
      <c r="D34" s="96" t="s">
        <v>85</v>
      </c>
      <c r="E34" s="96" t="s">
        <v>25</v>
      </c>
      <c r="F34" s="96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1.5197529438118627</v>
      </c>
      <c r="N34" s="13">
        <f ca="1">(+M34+O34+R34+U34+V34+W34+X34+Y34+Z34+AA34+AC34+AH34+AI34+AJ34+AK34)*CUSTOS!$M$5</f>
        <v>1.5426552529438119E-11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302.7337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1169.3571999999999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CUSTOS!$M$29)*33.5223</f>
        <v>33.522300000000001</v>
      </c>
      <c r="AI34" s="13">
        <f>(1 - CUSTOS!$M$29)*33.5223</f>
        <v>33.522300000000001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6"/>
      <c r="B35" s="96"/>
      <c r="C35" s="96"/>
      <c r="D35" s="96"/>
      <c r="E35" s="96"/>
      <c r="F35" s="96"/>
      <c r="G35" s="18" t="s">
        <v>82</v>
      </c>
      <c r="H35" s="18" t="s">
        <v>68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1.5197529438118627</v>
      </c>
      <c r="N35" s="13">
        <f ca="1">(+M35+O35+R35+U35+V35+W35+X35+Y35+Z35+AA35+AC35+AH35+AI35+AJ35+AK35)*CUSTOS!$M$5</f>
        <v>9.5382215294381182E-12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181.64340000000001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701.61440000000005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CUSTOS!$M$29)*33.5223</f>
        <v>33.522300000000001</v>
      </c>
      <c r="AI35" s="13">
        <f>(1 - CUSTOS!$M$29)*33.5223</f>
        <v>33.522300000000001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6"/>
      <c r="B36" s="96"/>
      <c r="C36" s="96"/>
      <c r="D36" s="96"/>
      <c r="E36" s="96"/>
      <c r="F36" s="96"/>
      <c r="G36" s="18" t="s">
        <v>70</v>
      </c>
      <c r="H36" s="18" t="s">
        <v>68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1.5197529438118627</v>
      </c>
      <c r="N36" s="13">
        <f ca="1">(+M36+O36+R36+U36+V36+W36+X36+Y36+Z36+AA36+AC36+AH36+AI36+AJ36+AK36)*CUSTOS!$M$5</f>
        <v>3.6498355294381176E-12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60.547800000000002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233.87139999999999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CUSTOS!$M$29)*33.5223</f>
        <v>33.522300000000001</v>
      </c>
      <c r="AI36" s="13">
        <f>(1 - CUSTOS!$M$29)*33.5223</f>
        <v>33.522300000000001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6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1.5197529438118627</v>
      </c>
      <c r="N37" s="13">
        <f ca="1">(+M37+O37+R37+U37+V37+W37+X37+Y37+Z37+AA37+AC37+AH37+AI37+AJ37+AK37)*CUSTOS!$M$5</f>
        <v>5.4542845294381183E-12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97.652100000000004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377.21199999999999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CUSTOS!$M$29)*33.5223</f>
        <v>33.522300000000001</v>
      </c>
      <c r="AI37" s="13">
        <f>(1 - CUSTOS!$M$29)*33.5223</f>
        <v>33.522300000000001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6"/>
      <c r="B38" s="96" t="s">
        <v>33</v>
      </c>
      <c r="C38" s="96" t="s">
        <v>42</v>
      </c>
      <c r="D38" s="96" t="s">
        <v>86</v>
      </c>
      <c r="E38" s="96" t="s">
        <v>25</v>
      </c>
      <c r="F38" s="96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1.5197529438118627</v>
      </c>
      <c r="N38" s="13">
        <f ca="1">(+M38+O38+R38+U38+V38+W38+X38+Y38+Z38+AA38+AC38+AH38+AI38+AJ38+AK38)*CUSTOS!$M$5</f>
        <v>1.5426552529438119E-11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302.7337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1169.3571999999999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CUSTOS!$M$30)*33.5223</f>
        <v>33.522300000000001</v>
      </c>
      <c r="AI38" s="13">
        <f>(1 - CUSTOS!$M$30)*33.5223</f>
        <v>33.522300000000001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6"/>
      <c r="B39" s="96"/>
      <c r="C39" s="96"/>
      <c r="D39" s="96"/>
      <c r="E39" s="96"/>
      <c r="F39" s="96"/>
      <c r="G39" s="18" t="s">
        <v>82</v>
      </c>
      <c r="H39" s="18" t="s">
        <v>68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1.5197529438118627</v>
      </c>
      <c r="N39" s="13">
        <f ca="1">(+M39+O39+R39+U39+V39+W39+X39+Y39+Z39+AA39+AC39+AH39+AI39+AJ39+AK39)*CUSTOS!$M$5</f>
        <v>9.5382215294381182E-12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181.64340000000001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701.61440000000005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CUSTOS!$M$30)*33.5223</f>
        <v>33.522300000000001</v>
      </c>
      <c r="AI39" s="13">
        <f>(1 - CUSTOS!$M$30)*33.5223</f>
        <v>33.522300000000001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6"/>
      <c r="B40" s="96"/>
      <c r="C40" s="96"/>
      <c r="D40" s="96"/>
      <c r="E40" s="96"/>
      <c r="F40" s="96"/>
      <c r="G40" s="18" t="s">
        <v>70</v>
      </c>
      <c r="H40" s="18" t="s">
        <v>68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1.5197529438118627</v>
      </c>
      <c r="N40" s="13">
        <f ca="1">(+M40+O40+R40+U40+V40+W40+X40+Y40+Z40+AA40+AC40+AH40+AI40+AJ40+AK40)*CUSTOS!$M$5</f>
        <v>3.6498355294381176E-12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60.547800000000002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233.87139999999999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CUSTOS!$M$30)*33.5223</f>
        <v>33.522300000000001</v>
      </c>
      <c r="AI40" s="13">
        <f>(1 - CUSTOS!$M$30)*33.5223</f>
        <v>33.522300000000001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6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1.5197529438118627</v>
      </c>
      <c r="N41" s="13">
        <f ca="1">(+M41+O41+R41+U41+V41+W41+X41+Y41+Z41+AA41+AC41+AH41+AI41+AJ41+AK41)*CUSTOS!$M$5</f>
        <v>5.4542845294381183E-12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97.652100000000004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377.21199999999999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CUSTOS!$M$30)*33.5223</f>
        <v>33.522300000000001</v>
      </c>
      <c r="AI41" s="13">
        <f>(1 - CUSTOS!$M$30)*33.5223</f>
        <v>33.522300000000001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6"/>
      <c r="B42" s="96" t="s">
        <v>84</v>
      </c>
      <c r="C42" s="96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1.5197529438118627</v>
      </c>
      <c r="N42" s="13">
        <f ca="1">(+M42+O42+R42+U42+V42+W42+X42+Y42+Z42+AA42+AC42+AH42+AI42+AJ42+AK42)*CUSTOS!$M$5</f>
        <v>5.4542845294381183E-12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97.652100000000004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377.21199999999999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CUSTOS!$M$28)*33.5223</f>
        <v>33.522300000000001</v>
      </c>
      <c r="AI42" s="13">
        <f>(1 - CUSTOS!$M$28)*33.5223</f>
        <v>33.522300000000001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6"/>
      <c r="B43" s="96"/>
      <c r="C43" s="96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1.5197529438118627</v>
      </c>
      <c r="N43" s="13">
        <f ca="1">(+M43+O43+R43+U43+V43+W43+X43+Y43+Z43+AA43+AC43+AH43+AI43+AJ43+AK43)*CUSTOS!$M$5</f>
        <v>5.4542845294381183E-12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97.652100000000004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377.21199999999999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CUSTOS!$M$29)*33.5223</f>
        <v>33.522300000000001</v>
      </c>
      <c r="AI43" s="13">
        <f>(1 - CUSTOS!$M$29)*33.5223</f>
        <v>33.522300000000001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6"/>
      <c r="B44" s="96"/>
      <c r="C44" s="96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1.5197529438118627</v>
      </c>
      <c r="N44" s="13">
        <f ca="1">(+M44+O44+R44+U44+V44+W44+X44+Y44+Z44+AA44+AC44+AH44+AI44+AJ44+AK44)*CUSTOS!$M$5</f>
        <v>5.4542845294381183E-12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97.652100000000004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377.21199999999999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CUSTOS!$M$30)*33.5223</f>
        <v>33.522300000000001</v>
      </c>
      <c r="AI44" s="13">
        <f>(1 - CUSTOS!$M$30)*33.5223</f>
        <v>33.522300000000001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6" t="s">
        <v>36</v>
      </c>
      <c r="B45" s="96" t="s">
        <v>33</v>
      </c>
      <c r="C45" s="96" t="s">
        <v>25</v>
      </c>
      <c r="D45" s="96" t="s">
        <v>25</v>
      </c>
      <c r="E45" s="96" t="s">
        <v>25</v>
      </c>
      <c r="F45" s="96" t="s">
        <v>25</v>
      </c>
      <c r="G45" s="18" t="s">
        <v>69</v>
      </c>
      <c r="H45" s="18" t="s">
        <v>68</v>
      </c>
      <c r="I45" s="18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1.5197529438118627</v>
      </c>
      <c r="N45" s="13">
        <f ca="1">(+M45+O45+R45+U45+V45+W45+X45+Y45+Z45+AA45+AC45+AH45+AI45+AJ45+AK45)*CUSTOS!$M$5</f>
        <v>1.5901380529438121E-11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312.49520000000001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1207.0785000000001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CUSTOS!$M$31)*33.5223</f>
        <v>33.522300000000001</v>
      </c>
      <c r="AI45" s="13">
        <f>(1 - CUSTOS!$M$31)*33.5223</f>
        <v>33.522300000000001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6"/>
      <c r="B46" s="96"/>
      <c r="C46" s="96"/>
      <c r="D46" s="96"/>
      <c r="E46" s="96"/>
      <c r="F46" s="96"/>
      <c r="G46" s="18" t="s">
        <v>82</v>
      </c>
      <c r="H46" s="18" t="s">
        <v>68</v>
      </c>
      <c r="I46" s="18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1.5197529438118627</v>
      </c>
      <c r="N46" s="13">
        <f ca="1">(+M46+O46+R46+U46+V46+W46+X46+Y46+Z46+AA46+AC46+AH46+AI46+AJ46+AK46)*CUSTOS!$M$5</f>
        <v>9.8231155294381173E-12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187.50030000000001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724.24689999999998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CUSTOS!$M$31)*33.5223</f>
        <v>33.522300000000001</v>
      </c>
      <c r="AI46" s="13">
        <f>(1 - CUSTOS!$M$31)*33.5223</f>
        <v>33.522300000000001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6"/>
      <c r="B47" s="96"/>
      <c r="C47" s="96"/>
      <c r="D47" s="96"/>
      <c r="E47" s="96"/>
      <c r="F47" s="96"/>
      <c r="G47" s="18" t="s">
        <v>70</v>
      </c>
      <c r="H47" s="18" t="s">
        <v>68</v>
      </c>
      <c r="I47" s="18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1.5197529438118627</v>
      </c>
      <c r="N47" s="13">
        <f ca="1">(+M47+O47+R47+U47+V47+W47+X47+Y47+Z47+AA47+AC47+AH47+AI47+AJ47+AK47)*CUSTOS!$M$5</f>
        <v>3.7448015294381181E-12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62.500100000000003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241.41569999999999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CUSTOS!$M$31)*33.5223</f>
        <v>33.522300000000001</v>
      </c>
      <c r="AI47" s="13">
        <f>(1 - CUSTOS!$M$31)*33.5223</f>
        <v>33.522300000000001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6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643.45600000000002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1.5197529438118627</v>
      </c>
      <c r="N48" s="13">
        <f ca="1">(+M48+O48+R48+U48+V48+W48+X48+Y48+Z48+AA48+AC48+AH48+AI48+AJ48+AK48)*CUSTOS!$M$5</f>
        <v>5.4542845294381183E-12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97.652100000000004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377.21199999999999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CUSTOS!$M$31)*33.5223</f>
        <v>33.522300000000001</v>
      </c>
      <c r="AI48" s="13">
        <f>(1 - CUSTOS!$M$31)*33.5223</f>
        <v>33.522300000000001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6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1.5197529438118627</v>
      </c>
      <c r="N49" s="13">
        <f ca="1">(+M49+O49+R49+U49+V49+W49+X49+Y49+Z49+AA49+AC49+AH49+AI49+AJ49+AK49)*CUSTOS!$M$5</f>
        <v>5.4542845294381183E-12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97.652100000000004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377.21199999999999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CUSTOS!$M$31)*33.5223</f>
        <v>33.522300000000001</v>
      </c>
      <c r="AI49" s="13">
        <f>(1 - CUSTOS!$M$31)*33.5223</f>
        <v>33.522300000000001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6" t="s">
        <v>44</v>
      </c>
      <c r="B50" s="96" t="s">
        <v>23</v>
      </c>
      <c r="C50" s="96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546.72599999999989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0.83586411909652458</v>
      </c>
      <c r="N50" s="13">
        <f ca="1">(+M50+O50+R50+U50+V50+W50+X50+Y50+Z50+AA50+AC50+AH50+AI50+AJ50+AK50)*CUSTOS!$M$5</f>
        <v>2.999856491190966E-12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53.708655000000007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207.4666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CUSTOS!$M$32)*33.5223</f>
        <v>18.437265000000004</v>
      </c>
      <c r="AI50" s="13">
        <f>(1 - CUSTOS!$M$32)*33.5223</f>
        <v>18.437265000000004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6"/>
      <c r="B51" s="96"/>
      <c r="C51" s="96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0.9118517662871175</v>
      </c>
      <c r="N51" s="13">
        <f ca="1">(+M51+O51+R51+U51+V51+W51+X51+Y51+Z51+AA51+AC51+AH51+AI51+AJ51+AK51)*CUSTOS!$M$5</f>
        <v>3.2725707176628709E-12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58.591259999999998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226.32719999999998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CUSTOS!$M$33)*33.5223</f>
        <v>20.113379999999999</v>
      </c>
      <c r="AI51" s="13">
        <f>(1 - CUSTOS!$M$33)*33.5223</f>
        <v>20.113379999999999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3">
      <c r="K53" s="16" t="s">
        <v>499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3">
      <c r="K54" s="16" t="s">
        <v>500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3">
      <c r="K55" s="16" t="s">
        <v>501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19272.540419999998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32352.100488135293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9.4173924047676463E-8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21757.441299999999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21493.311299999998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19272.540419999998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21493.311299999998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21757.441299999999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2037626.4956300296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8029919.4163278108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427681.63026099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427681.63026099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3">
      <c r="K56" s="16" t="s">
        <v>437</v>
      </c>
      <c r="L56" s="13">
        <f>CUSTOS!$D$2</f>
        <v>561638.5612703464</v>
      </c>
      <c r="M56" s="13">
        <f>CUSTOS!$D$3</f>
        <v>32726.000289716503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1744067.2510800003</v>
      </c>
      <c r="R56" s="13">
        <f>CUSTOS!$D$8</f>
        <v>307176.84594000003</v>
      </c>
      <c r="S56" s="13">
        <f>CUSTOS!$D$9</f>
        <v>0</v>
      </c>
      <c r="T56" s="13">
        <f>CUSTOS!$D$10</f>
        <v>2645608.6585800634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2472691.1461900002</v>
      </c>
      <c r="Z56" s="13">
        <f>Z54</f>
        <v>0</v>
      </c>
      <c r="AA56" s="13">
        <f>AA54</f>
        <v>0</v>
      </c>
      <c r="AB56" s="13">
        <f>CUSTOS!$D$18</f>
        <v>2472691.1461900002</v>
      </c>
      <c r="AC56" s="13">
        <f>CUSTOS!$D$19</f>
        <v>7218569.4400000004</v>
      </c>
      <c r="AD56" s="13">
        <f>CUSTOS!$D$20</f>
        <v>7218569.4400000004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402350.50226934697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402350.50226934697</v>
      </c>
      <c r="AM56" s="13">
        <f>CUSTOS!$D$29</f>
        <v>12739219.747039411</v>
      </c>
    </row>
    <row r="57" spans="1:42" ht="11.25" customHeight="1" x14ac:dyDescent="0.3">
      <c r="K57" s="16" t="s">
        <v>438</v>
      </c>
      <c r="L57" s="13">
        <f>CUSTOS!$E$2</f>
        <v>-3474.370163392417</v>
      </c>
      <c r="M57" s="13">
        <f>CUSTOS!$E$3</f>
        <v>-230.23633007930752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-7368.2249409820133</v>
      </c>
      <c r="R57" s="13">
        <f>CUSTOS!$E$8</f>
        <v>-1404.9905913531622</v>
      </c>
      <c r="S57" s="13">
        <f>CUSTOS!$E$9</f>
        <v>0</v>
      </c>
      <c r="T57" s="13">
        <f>CUSTOS!$E$10</f>
        <v>-12477.8220258069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85009.576954378659</v>
      </c>
      <c r="Z57" s="13">
        <f>CUSTOS!$E$16</f>
        <v>0</v>
      </c>
      <c r="AA57" s="13">
        <f>CUSTOS!$E$17</f>
        <v>0</v>
      </c>
      <c r="AB57" s="13">
        <f>CUSTOS!$E$18</f>
        <v>85009.576954378659</v>
      </c>
      <c r="AC57" s="13">
        <f>CUSTOS!$E$19</f>
        <v>-3024752.7960253092</v>
      </c>
      <c r="AD57" s="13">
        <f>CUSTOS!$E$20</f>
        <v>-3024752.7960253092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-8369.2053270178876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-8369.2053270178876</v>
      </c>
      <c r="AM57" s="13">
        <f>CUSTOS!$E$29</f>
        <v>-2960590.2464237553</v>
      </c>
    </row>
    <row r="58" spans="1:42" ht="11.25" customHeight="1" x14ac:dyDescent="0.3">
      <c r="K58" s="16" t="s">
        <v>439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3">
      <c r="K59" s="16" t="s">
        <v>502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3">
      <c r="K60" s="16" t="s">
        <v>503</v>
      </c>
      <c r="L60" s="13">
        <f t="shared" ref="L60:S60" si="1">IF((L55+L53)&lt;&gt;0,(L56-L54-L59)/(L55+L53),0)</f>
        <v>29.141905998417748</v>
      </c>
      <c r="M60" s="13">
        <f t="shared" si="1"/>
        <v>1.0115572032708768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90.494932846014521</v>
      </c>
      <c r="R60" s="13">
        <f t="shared" si="1"/>
        <v>14.291741353971831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1.2135154070154794</v>
      </c>
      <c r="Z60" s="13"/>
      <c r="AA60" s="13"/>
      <c r="AB60" s="13"/>
      <c r="AC60" s="13">
        <f>IF(AC55&lt;&gt;0,(AC56-AC54-AC53-AC59)/AC55,0)</f>
        <v>0.89895913840952946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0.94077106380233144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3">
      <c r="K62" s="19" t="s">
        <v>507</v>
      </c>
      <c r="L62" s="19" t="s">
        <v>508</v>
      </c>
      <c r="M62" s="19" t="s">
        <v>509</v>
      </c>
      <c r="N62" s="19" t="s">
        <v>510</v>
      </c>
      <c r="O62" s="19" t="s">
        <v>511</v>
      </c>
      <c r="P62" s="19" t="s">
        <v>512</v>
      </c>
    </row>
    <row r="63" spans="1:42" ht="11.25" customHeight="1" x14ac:dyDescent="0.3">
      <c r="K63" s="18" t="s">
        <v>38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7854237.6799070518</v>
      </c>
      <c r="M63" s="18">
        <f>+'TUSD BE'!$I$7+'TUSD BE'!$I$8+'TUSD BE'!$I$11+'TUSD BE'!$I$12+'TUSD BE'!$I$13+'TUSD BE'!$I$14</f>
        <v>13879.817999999999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3">
      <c r="K64" s="18" t="s">
        <v>79</v>
      </c>
      <c r="L64" s="18">
        <f ca="1">+$L$65+$L$66+$L$67+$L$68+$L$69</f>
        <v>4884982.06713208</v>
      </c>
      <c r="M64" s="18">
        <f>+$M$65+$M$66+$M$67+$M$68+$M$69</f>
        <v>8123.6500000000005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3">
      <c r="K65" s="18" t="s">
        <v>79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3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3430829.4065293223</v>
      </c>
      <c r="M66" s="18">
        <f>+'TUSD BE'!$I$17+'TUSD BE'!$I$18+'TUSD BE'!$I$19+'TUSD BE'!$I$20+'TUSD BE'!$I$21+'TUSD BE'!$I$22+'TUSD BE'!$I$23+'TUSD BE'!$I$24+'TUSD BE'!$I$25+'TUSD BE'!$I$26+'TUSD BE'!$I$27+'TUSD BE'!$I$28+'TUSD BE'!$I$29</f>
        <v>5549.5010000000002</v>
      </c>
      <c r="N66" s="18"/>
      <c r="O66" s="18"/>
      <c r="P66" s="18"/>
    </row>
    <row r="67" spans="11:16" ht="11.25" customHeight="1" x14ac:dyDescent="0.3">
      <c r="K67" s="18" t="s">
        <v>41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864430.22999110364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1383.9670000000001</v>
      </c>
      <c r="N67" s="18"/>
      <c r="O67" s="18"/>
      <c r="P67" s="18"/>
    </row>
    <row r="68" spans="11:16" ht="11.25" customHeight="1" x14ac:dyDescent="0.3">
      <c r="K68" s="18" t="s">
        <v>36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401904.6827483282</v>
      </c>
      <c r="M68" s="18">
        <f>+'TUSD BE'!$I$45+'TUSD BE'!$I$46+'TUSD BE'!$I$47+'TUSD BE'!$I$48+'TUSD BE'!$I$49</f>
        <v>643.45600000000002</v>
      </c>
      <c r="N68" s="18"/>
      <c r="O68" s="18"/>
      <c r="P68" s="18"/>
    </row>
    <row r="69" spans="11:16" ht="11.25" customHeight="1" x14ac:dyDescent="0.3">
      <c r="K69" s="18" t="s">
        <v>44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187817.74786332608</v>
      </c>
      <c r="M69" s="18">
        <f>+'TUSD BE'!$I$50+'TUSD BE'!$I$51</f>
        <v>546.72599999999989</v>
      </c>
      <c r="N69" s="18"/>
      <c r="O69" s="18"/>
      <c r="P69" s="18"/>
    </row>
    <row r="70" spans="11:16" ht="11.25" customHeight="1" x14ac:dyDescent="0.3">
      <c r="K70" s="18"/>
      <c r="L70" s="18">
        <f ca="1">SUM($L$63:$L$69,-$L$64)</f>
        <v>12739219.747039134</v>
      </c>
      <c r="M70" s="18">
        <f>SUM($M$63:$M$69,-$M$64)</f>
        <v>22003.467999999997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4696-A508-4D0E-9899-079B74AE3C6C}">
  <dimension ref="A1:AP58"/>
  <sheetViews>
    <sheetView showGridLines="0" topLeftCell="Y35" workbookViewId="0">
      <selection activeCell="AM53" sqref="AM53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7.6640625" style="9" bestFit="1" customWidth="1"/>
    <col min="10" max="10" width="8.88671875" style="9"/>
    <col min="11" max="11" width="14.109375" style="9" bestFit="1" customWidth="1"/>
    <col min="12" max="12" width="13" style="9" bestFit="1" customWidth="1"/>
    <col min="13" max="13" width="7.6640625" style="9" bestFit="1" customWidth="1"/>
    <col min="14" max="15" width="4" style="9" bestFit="1" customWidth="1"/>
    <col min="16" max="16" width="4.33203125" style="9" bestFit="1" customWidth="1"/>
    <col min="17" max="17" width="9.6640625" style="9" bestFit="1" customWidth="1"/>
    <col min="18" max="19" width="8.44140625" style="9" bestFit="1" customWidth="1"/>
    <col min="20" max="20" width="9.6640625" style="9" bestFit="1" customWidth="1"/>
    <col min="21" max="21" width="7.21875" style="9" bestFit="1" customWidth="1"/>
    <col min="22" max="22" width="7.109375" style="9" bestFit="1" customWidth="1"/>
    <col min="23" max="24" width="9.5546875" style="9" bestFit="1" customWidth="1"/>
    <col min="25" max="25" width="9.6640625" style="9" bestFit="1" customWidth="1"/>
    <col min="26" max="26" width="7.44140625" style="9" bestFit="1" customWidth="1"/>
    <col min="27" max="27" width="9.5546875" style="9" bestFit="1" customWidth="1"/>
    <col min="28" max="28" width="9.6640625" style="9" bestFit="1" customWidth="1"/>
    <col min="29" max="29" width="11.33203125" style="9" bestFit="1" customWidth="1"/>
    <col min="30" max="30" width="10.21875" style="9" bestFit="1" customWidth="1"/>
    <col min="31" max="31" width="7.77734375" style="9" bestFit="1" customWidth="1"/>
    <col min="32" max="32" width="7.109375" style="9" bestFit="1" customWidth="1"/>
    <col min="33" max="33" width="9" style="9" bestFit="1" customWidth="1"/>
    <col min="34" max="34" width="14.88671875" style="9" bestFit="1" customWidth="1"/>
    <col min="35" max="35" width="17.5546875" style="9" bestFit="1" customWidth="1"/>
    <col min="36" max="36" width="18.5546875" style="9" bestFit="1" customWidth="1"/>
    <col min="37" max="37" width="3.88671875" style="9" bestFit="1" customWidth="1"/>
    <col min="38" max="38" width="9" style="9" bestFit="1" customWidth="1"/>
    <col min="39" max="39" width="10.5546875" style="9" bestFit="1" customWidth="1"/>
    <col min="40" max="41" width="8.88671875" style="9"/>
    <col min="42" max="42" width="7.6640625" style="9" bestFit="1" customWidth="1"/>
    <col min="43" max="16384" width="8.88671875" style="9"/>
  </cols>
  <sheetData>
    <row r="1" spans="1:42" ht="11.25" customHeight="1" x14ac:dyDescent="0.3">
      <c r="A1" s="97" t="s">
        <v>58</v>
      </c>
      <c r="B1" s="97" t="s">
        <v>59</v>
      </c>
      <c r="C1" s="97" t="s">
        <v>60</v>
      </c>
      <c r="D1" s="97" t="s">
        <v>61</v>
      </c>
      <c r="E1" s="97" t="s">
        <v>62</v>
      </c>
      <c r="F1" s="97" t="s">
        <v>15</v>
      </c>
      <c r="G1" s="97" t="s">
        <v>64</v>
      </c>
      <c r="H1" s="97" t="s">
        <v>65</v>
      </c>
      <c r="I1" s="97" t="s">
        <v>496</v>
      </c>
      <c r="J1" s="94"/>
      <c r="L1" s="98" t="s">
        <v>504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P1" s="98" t="s">
        <v>498</v>
      </c>
    </row>
    <row r="2" spans="1:42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94"/>
      <c r="L2" s="98" t="s">
        <v>395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P2" s="99"/>
    </row>
    <row r="3" spans="1:42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94"/>
      <c r="L3" s="98" t="s">
        <v>396</v>
      </c>
      <c r="M3" s="98"/>
      <c r="N3" s="98"/>
      <c r="O3" s="98"/>
      <c r="P3" s="98"/>
      <c r="Q3" s="98"/>
      <c r="R3" s="98"/>
      <c r="S3" s="98"/>
      <c r="T3" s="98"/>
      <c r="U3" s="98" t="s">
        <v>405</v>
      </c>
      <c r="V3" s="98"/>
      <c r="W3" s="98"/>
      <c r="X3" s="98"/>
      <c r="Y3" s="98"/>
      <c r="Z3" s="98"/>
      <c r="AA3" s="98"/>
      <c r="AB3" s="98"/>
      <c r="AC3" s="98" t="s">
        <v>413</v>
      </c>
      <c r="AD3" s="98"/>
      <c r="AE3" s="98" t="s">
        <v>415</v>
      </c>
      <c r="AF3" s="98"/>
      <c r="AG3" s="98"/>
      <c r="AH3" s="98" t="s">
        <v>418</v>
      </c>
      <c r="AI3" s="98"/>
      <c r="AJ3" s="98"/>
      <c r="AK3" s="98"/>
      <c r="AL3" s="98"/>
      <c r="AM3" s="98" t="s">
        <v>404</v>
      </c>
      <c r="AP3" s="99"/>
    </row>
    <row r="4" spans="1:42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94"/>
      <c r="L4" s="10" t="s">
        <v>481</v>
      </c>
      <c r="M4" s="10" t="s">
        <v>397</v>
      </c>
      <c r="N4" s="10" t="s">
        <v>398</v>
      </c>
      <c r="O4" s="10" t="s">
        <v>399</v>
      </c>
      <c r="P4" s="10" t="s">
        <v>400</v>
      </c>
      <c r="Q4" s="10" t="s">
        <v>401</v>
      </c>
      <c r="R4" s="10" t="s">
        <v>402</v>
      </c>
      <c r="S4" s="10" t="s">
        <v>403</v>
      </c>
      <c r="T4" s="10" t="s">
        <v>404</v>
      </c>
      <c r="U4" s="10" t="s">
        <v>406</v>
      </c>
      <c r="V4" s="10" t="s">
        <v>407</v>
      </c>
      <c r="W4" s="10" t="s">
        <v>408</v>
      </c>
      <c r="X4" s="10" t="s">
        <v>409</v>
      </c>
      <c r="Y4" s="10" t="s">
        <v>410</v>
      </c>
      <c r="Z4" s="10" t="s">
        <v>411</v>
      </c>
      <c r="AA4" s="10" t="s">
        <v>412</v>
      </c>
      <c r="AB4" s="10" t="s">
        <v>404</v>
      </c>
      <c r="AC4" s="10" t="s">
        <v>414</v>
      </c>
      <c r="AD4" s="10" t="s">
        <v>404</v>
      </c>
      <c r="AE4" s="10" t="s">
        <v>416</v>
      </c>
      <c r="AF4" s="10" t="s">
        <v>417</v>
      </c>
      <c r="AG4" s="10" t="s">
        <v>404</v>
      </c>
      <c r="AH4" s="10" t="s">
        <v>419</v>
      </c>
      <c r="AI4" s="10" t="s">
        <v>420</v>
      </c>
      <c r="AJ4" s="10" t="s">
        <v>421</v>
      </c>
      <c r="AK4" s="10" t="s">
        <v>422</v>
      </c>
      <c r="AL4" s="10" t="s">
        <v>404</v>
      </c>
      <c r="AM4" s="100"/>
      <c r="AP4" s="99"/>
    </row>
    <row r="5" spans="1:42" ht="11.25" customHeight="1" x14ac:dyDescent="0.3">
      <c r="A5" s="96" t="s">
        <v>38</v>
      </c>
      <c r="B5" s="96" t="s">
        <v>73</v>
      </c>
      <c r="C5" s="96" t="s">
        <v>25</v>
      </c>
      <c r="D5" s="96" t="s">
        <v>25</v>
      </c>
      <c r="E5" s="96" t="s">
        <v>25</v>
      </c>
      <c r="F5" s="96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32.727297011800466</v>
      </c>
      <c r="Z5" s="13">
        <f>'TR TUSD'!$Z$5</f>
        <v>0</v>
      </c>
      <c r="AA5" s="13">
        <f>'TR TUSD'!$AA$5</f>
        <v>0</v>
      </c>
      <c r="AB5" s="13">
        <f>SUM($U$5:$AA$5)</f>
        <v>32.727297011800466</v>
      </c>
      <c r="AC5" s="13">
        <f>'TR TUSD'!$AC$5*'TR TUSD'!$AC$60</f>
        <v>114.19361070528259</v>
      </c>
      <c r="AD5" s="13">
        <f>SUM($AC$5:$AC$5)</f>
        <v>114.19361070528259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146.92090771708305</v>
      </c>
      <c r="AP5" s="13">
        <v>1</v>
      </c>
    </row>
    <row r="6" spans="1:42" ht="11.25" customHeight="1" x14ac:dyDescent="0.3">
      <c r="A6" s="96"/>
      <c r="B6" s="96"/>
      <c r="C6" s="96"/>
      <c r="D6" s="96"/>
      <c r="E6" s="96"/>
      <c r="F6" s="96"/>
      <c r="G6" s="18" t="s">
        <v>76</v>
      </c>
      <c r="H6" s="18" t="s">
        <v>74</v>
      </c>
      <c r="I6" s="18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14.911313266784106</v>
      </c>
      <c r="Z6" s="13">
        <f>'TR TUSD'!$Z$6</f>
        <v>0</v>
      </c>
      <c r="AA6" s="13">
        <f>'TR TUSD'!$AA$6</f>
        <v>0</v>
      </c>
      <c r="AB6" s="13">
        <f>SUM($U$6:$AA$6)</f>
        <v>14.911313266784106</v>
      </c>
      <c r="AC6" s="13">
        <f>'TR TUSD'!$AC$6*'TR TUSD'!$AC$60</f>
        <v>28.89209722891307</v>
      </c>
      <c r="AD6" s="13">
        <f>SUM($AC$6:$AC$6)</f>
        <v>28.89209722891307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43.803410495697179</v>
      </c>
      <c r="AP6" s="13">
        <v>1</v>
      </c>
    </row>
    <row r="7" spans="1:42" ht="11.25" customHeight="1" x14ac:dyDescent="0.3">
      <c r="A7" s="96"/>
      <c r="B7" s="96"/>
      <c r="C7" s="96"/>
      <c r="D7" s="96"/>
      <c r="E7" s="96"/>
      <c r="F7" s="96"/>
      <c r="G7" s="18" t="s">
        <v>72</v>
      </c>
      <c r="H7" s="18" t="s">
        <v>68</v>
      </c>
      <c r="I7" s="18">
        <f>'MERCADO TUSD'!$U$4</f>
        <v>0</v>
      </c>
      <c r="J7" s="15"/>
      <c r="L7" s="13">
        <f>'TR TUSD'!$L$7*'TR TUSD'!$L$60</f>
        <v>24.479201038670908</v>
      </c>
      <c r="M7" s="13">
        <f>'TR TUSD'!$M$7*'TR TUSD'!$M$60</f>
        <v>1.4852929466063574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76.015743590652193</v>
      </c>
      <c r="R7" s="13">
        <f>'TR TUSD'!$R$7*'TR TUSD'!$R$60</f>
        <v>14.291741353971831</v>
      </c>
      <c r="S7" s="13">
        <f>'TR TUSD'!$S$7*'TR TUSD'!$S$60</f>
        <v>0</v>
      </c>
      <c r="T7" s="13">
        <f ca="1">SUM($L$7:$S$7)</f>
        <v>116.27197892990129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11.089150760357221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11.089150760357221</v>
      </c>
      <c r="AM7" s="13">
        <f ca="1">SUMIF($L$4:$AL$4,"SUBTOTAL",$L$7:$AL$7)</f>
        <v>127.36112969025851</v>
      </c>
      <c r="AP7" s="13">
        <v>1</v>
      </c>
    </row>
    <row r="8" spans="1:42" ht="11.25" customHeight="1" x14ac:dyDescent="0.3">
      <c r="A8" s="96"/>
      <c r="B8" s="96"/>
      <c r="C8" s="96"/>
      <c r="D8" s="96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1.4852929466063574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1.4852929466063574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11.089150760357221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11.089150760357221</v>
      </c>
      <c r="AM8" s="13">
        <f ca="1">SUMIF($L$4:$AL$4,"SUBTOTAL",$L$8:$AL$8)</f>
        <v>12.574443706963578</v>
      </c>
      <c r="AP8" s="13">
        <v>1</v>
      </c>
    </row>
    <row r="9" spans="1:42" ht="11.25" customHeight="1" x14ac:dyDescent="0.3">
      <c r="A9" s="96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3.1054806140415919E-2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3.1054806140415919E-2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17.747880581877816</v>
      </c>
      <c r="AD9" s="13">
        <f>SUM($AC$9:$AC$9)</f>
        <v>17.747880581877816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17.778935388018233</v>
      </c>
      <c r="AP9" s="13"/>
    </row>
    <row r="10" spans="1:42" ht="11.25" customHeight="1" x14ac:dyDescent="0.3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18" t="s">
        <v>9</v>
      </c>
      <c r="H10" s="18" t="s">
        <v>74</v>
      </c>
      <c r="I10" s="18">
        <f>'MERCADO TUSD'!$U$7</f>
        <v>35589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14.911313266784106</v>
      </c>
      <c r="Z10" s="13">
        <f>'TR TUSD'!$Z$10</f>
        <v>0</v>
      </c>
      <c r="AA10" s="13">
        <f>'TR TUSD'!$AA$10</f>
        <v>0</v>
      </c>
      <c r="AB10" s="13">
        <f>SUM($U$10:$AA$10)</f>
        <v>14.911313266784106</v>
      </c>
      <c r="AC10" s="13">
        <f>'TR TUSD'!$AC$10*'TR TUSD'!$AC$60</f>
        <v>28.89209722891307</v>
      </c>
      <c r="AD10" s="13">
        <f>SUM($AC$10:$AC$10)</f>
        <v>28.89209722891307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43.803410495697179</v>
      </c>
      <c r="AP10" s="13">
        <v>1</v>
      </c>
    </row>
    <row r="11" spans="1:42" ht="11.25" customHeight="1" x14ac:dyDescent="0.3">
      <c r="A11" s="96"/>
      <c r="B11" s="96"/>
      <c r="C11" s="96"/>
      <c r="D11" s="96"/>
      <c r="E11" s="96"/>
      <c r="F11" s="96"/>
      <c r="G11" s="18" t="s">
        <v>69</v>
      </c>
      <c r="H11" s="18" t="s">
        <v>68</v>
      </c>
      <c r="I11" s="18">
        <f>'MERCADO TUSD'!$U$8</f>
        <v>1281.3549999999998</v>
      </c>
      <c r="J11" s="15"/>
      <c r="L11" s="13">
        <f>'TR TUSD'!$L$11*'TR TUSD'!$L$60</f>
        <v>24.479201038670908</v>
      </c>
      <c r="M11" s="13">
        <f>'TR TUSD'!$M$11*'TR TUSD'!$M$60</f>
        <v>1.4852929466063574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76.015743590652193</v>
      </c>
      <c r="R11" s="13">
        <f>'TR TUSD'!$R$11*'TR TUSD'!$R$60</f>
        <v>14.291741353971831</v>
      </c>
      <c r="S11" s="13">
        <f>'TR TUSD'!$S$11*'TR TUSD'!$S$60</f>
        <v>0</v>
      </c>
      <c r="T11" s="13">
        <f ca="1">SUM($L$11:$S$11)</f>
        <v>116.27197892990129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787.06060916669253</v>
      </c>
      <c r="Z11" s="13">
        <f>'TR TUSD'!$Z$11</f>
        <v>0</v>
      </c>
      <c r="AA11" s="13">
        <f>'TR TUSD'!$AA$11</f>
        <v>0</v>
      </c>
      <c r="AB11" s="13">
        <f>SUM($U$11:$AA$11)</f>
        <v>787.06060916669253</v>
      </c>
      <c r="AC11" s="13">
        <f>'TR TUSD'!$AC$11*'TR TUSD'!$AC$60</f>
        <v>2746.3620593369624</v>
      </c>
      <c r="AD11" s="13">
        <f>SUM($AC$11:$AC$11)</f>
        <v>2746.3620593369624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11.089150760357221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11.089150760357221</v>
      </c>
      <c r="AM11" s="13">
        <f ca="1">SUMIF($L$4:$AL$4,"SUBTOTAL",$L$11:$AL$11)</f>
        <v>3660.7837981939138</v>
      </c>
      <c r="AP11" s="13">
        <v>1</v>
      </c>
    </row>
    <row r="12" spans="1:42" ht="11.25" customHeight="1" x14ac:dyDescent="0.3">
      <c r="A12" s="96"/>
      <c r="B12" s="96"/>
      <c r="C12" s="96"/>
      <c r="D12" s="96"/>
      <c r="E12" s="96"/>
      <c r="F12" s="96"/>
      <c r="G12" s="18" t="s">
        <v>70</v>
      </c>
      <c r="H12" s="18" t="s">
        <v>68</v>
      </c>
      <c r="I12" s="18">
        <f>'MERCADO TUSD'!$U$9</f>
        <v>12598.463</v>
      </c>
      <c r="J12" s="15"/>
      <c r="L12" s="13">
        <f>'TR TUSD'!$L$12*'TR TUSD'!$L$60</f>
        <v>24.479201038670908</v>
      </c>
      <c r="M12" s="13">
        <f>'TR TUSD'!$M$12*'TR TUSD'!$M$60</f>
        <v>1.4852929466063574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76.015743590652193</v>
      </c>
      <c r="R12" s="13">
        <f>'TR TUSD'!$R$12*'TR TUSD'!$R$60</f>
        <v>14.291741353971831</v>
      </c>
      <c r="S12" s="13">
        <f>'TR TUSD'!$S$12*'TR TUSD'!$S$60</f>
        <v>0</v>
      </c>
      <c r="T12" s="13">
        <f ca="1">SUM($L$12:$S$12)</f>
        <v>116.27197892990129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11.089150760357221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11.089150760357221</v>
      </c>
      <c r="AM12" s="13">
        <f ca="1">SUMIF($L$4:$AL$4,"SUBTOTAL",$L$12:$AL$12)</f>
        <v>127.36112969025851</v>
      </c>
      <c r="AP12" s="13">
        <v>1</v>
      </c>
    </row>
    <row r="13" spans="1:42" ht="11.25" customHeight="1" x14ac:dyDescent="0.3">
      <c r="A13" s="96"/>
      <c r="B13" s="96"/>
      <c r="C13" s="96"/>
      <c r="D13" s="96"/>
      <c r="E13" s="96" t="s">
        <v>77</v>
      </c>
      <c r="F13" s="96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1.4852929466063574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1.4852929466063574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787.06060916669253</v>
      </c>
      <c r="Z13" s="13">
        <f>'TR TUSD'!$Z$13</f>
        <v>0</v>
      </c>
      <c r="AA13" s="13">
        <f>'TR TUSD'!$AA$13</f>
        <v>0</v>
      </c>
      <c r="AB13" s="13">
        <f>SUM($U$13:$AA$13)</f>
        <v>787.06060916669253</v>
      </c>
      <c r="AC13" s="13">
        <f>'TR TUSD'!$AC$13*'TR TUSD'!$AC$60</f>
        <v>2746.3620593369624</v>
      </c>
      <c r="AD13" s="13">
        <f>SUM($AC$13:$AC$13)</f>
        <v>2746.3620593369624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11.089150760357221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11.089150760357221</v>
      </c>
      <c r="AM13" s="13">
        <f ca="1">SUMIF($L$4:$AL$4,"SUBTOTAL",$L$13:$AL$13)</f>
        <v>3545.9971122106185</v>
      </c>
      <c r="AP13" s="13">
        <v>1</v>
      </c>
    </row>
    <row r="14" spans="1:42" ht="11.25" customHeight="1" x14ac:dyDescent="0.3">
      <c r="A14" s="96"/>
      <c r="B14" s="96"/>
      <c r="C14" s="96"/>
      <c r="D14" s="96"/>
      <c r="E14" s="96"/>
      <c r="F14" s="96"/>
      <c r="G14" s="18" t="s">
        <v>70</v>
      </c>
      <c r="H14" s="18" t="s">
        <v>68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1.4852929466063574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1.4852929466063574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11.089150760357221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11.089150760357221</v>
      </c>
      <c r="AM14" s="13">
        <f ca="1">SUMIF($L$4:$AL$4,"SUBTOTAL",$L$14:$AL$14)</f>
        <v>12.574443706963578</v>
      </c>
      <c r="AP14" s="13">
        <v>1</v>
      </c>
    </row>
    <row r="15" spans="1:42" ht="11.25" customHeight="1" x14ac:dyDescent="0.3">
      <c r="A15" s="96" t="s">
        <v>79</v>
      </c>
      <c r="B15" s="96" t="s">
        <v>78</v>
      </c>
      <c r="C15" s="96" t="s">
        <v>25</v>
      </c>
      <c r="D15" s="96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5.2600974570085595E-3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5.2600974570085595E-3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4.3124867787781946</v>
      </c>
      <c r="AD15" s="13">
        <f>SUM($AC$15:$AC$15)</f>
        <v>4.3124867787781946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4.3177468762352031</v>
      </c>
      <c r="AP15" s="13"/>
    </row>
    <row r="16" spans="1:42" ht="11.25" customHeight="1" x14ac:dyDescent="0.3">
      <c r="A16" s="96"/>
      <c r="B16" s="96"/>
      <c r="C16" s="96"/>
      <c r="D16" s="96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5.2600974570085595E-3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5.2600974570085595E-3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23.765063574822001</v>
      </c>
      <c r="AD16" s="13">
        <f>SUM($AC$16:$AC$16)</f>
        <v>23.765063574822001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23.770323672279009</v>
      </c>
      <c r="AP16" s="13"/>
    </row>
    <row r="17" spans="1:42" ht="11.25" customHeight="1" x14ac:dyDescent="0.3">
      <c r="A17" s="96" t="s">
        <v>22</v>
      </c>
      <c r="B17" s="96" t="s">
        <v>33</v>
      </c>
      <c r="C17" s="96" t="s">
        <v>24</v>
      </c>
      <c r="D17" s="96" t="s">
        <v>24</v>
      </c>
      <c r="E17" s="96" t="s">
        <v>25</v>
      </c>
      <c r="F17" s="96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'TR TUSD'!$L$17*'TR TUSD'!$L$60</f>
        <v>29.141905998417748</v>
      </c>
      <c r="M17" s="13">
        <f>'TR TUSD'!$M$17*'TR TUSD'!$M$60</f>
        <v>1.5373170375050098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90.494932846014521</v>
      </c>
      <c r="R17" s="13">
        <f>'TR TUSD'!$R$17*'TR TUSD'!$R$60</f>
        <v>14.291741353971831</v>
      </c>
      <c r="S17" s="13">
        <f>'TR TUSD'!$S$17*'TR TUSD'!$S$60</f>
        <v>0</v>
      </c>
      <c r="T17" s="13">
        <f ca="1">SUM($L$17:$S$17)</f>
        <v>135.46589723590913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343.67411624998164</v>
      </c>
      <c r="Z17" s="13">
        <f>'TR TUSD'!$Z$17</f>
        <v>0</v>
      </c>
      <c r="AA17" s="13">
        <f>'TR TUSD'!$AA$17</f>
        <v>0</v>
      </c>
      <c r="AB17" s="13">
        <f>SUM($U$17:$AA$17)</f>
        <v>343.67411624998164</v>
      </c>
      <c r="AC17" s="13">
        <f>'TR TUSD'!$AC$17*'TR TUSD'!$AC$60</f>
        <v>983.3847959973466</v>
      </c>
      <c r="AD17" s="13">
        <f>SUM($AC$17:$AC$17)</f>
        <v>983.3847959973466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31.536809832100897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31.536809832100897</v>
      </c>
      <c r="AM17" s="13">
        <f ca="1">SUMIF($L$4:$AL$4,"SUBTOTAL",$L$17:$AL$17)</f>
        <v>1494.0616193153382</v>
      </c>
      <c r="AP17" s="13">
        <v>1</v>
      </c>
    </row>
    <row r="18" spans="1:42" ht="11.25" customHeight="1" x14ac:dyDescent="0.3">
      <c r="A18" s="96"/>
      <c r="B18" s="96"/>
      <c r="C18" s="96"/>
      <c r="D18" s="96"/>
      <c r="E18" s="96"/>
      <c r="F18" s="96"/>
      <c r="G18" s="18" t="s">
        <v>82</v>
      </c>
      <c r="H18" s="18" t="s">
        <v>68</v>
      </c>
      <c r="I18" s="18">
        <f>'MERCADO TUSD'!$U$15</f>
        <v>0.19500000000000003</v>
      </c>
      <c r="J18" s="15"/>
      <c r="L18" s="13">
        <f>'TR TUSD'!$L$18*'TR TUSD'!$L$60</f>
        <v>29.141905998417748</v>
      </c>
      <c r="M18" s="13">
        <f>'TR TUSD'!$M$18*'TR TUSD'!$M$60</f>
        <v>1.5373170375050098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90.494932846014521</v>
      </c>
      <c r="R18" s="13">
        <f>'TR TUSD'!$R$18*'TR TUSD'!$R$60</f>
        <v>14.291741353971831</v>
      </c>
      <c r="S18" s="13">
        <f>'TR TUSD'!$S$18*'TR TUSD'!$S$60</f>
        <v>0</v>
      </c>
      <c r="T18" s="13">
        <f ca="1">SUM($L$18:$S$18)</f>
        <v>135.46589723590913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206.20575607632043</v>
      </c>
      <c r="Z18" s="13">
        <f>'TR TUSD'!$Z$18</f>
        <v>0</v>
      </c>
      <c r="AA18" s="13">
        <f>'TR TUSD'!$AA$18</f>
        <v>0</v>
      </c>
      <c r="AB18" s="13">
        <f>SUM($U$18:$AA$18)</f>
        <v>206.20575607632043</v>
      </c>
      <c r="AC18" s="13">
        <f>'TR TUSD'!$AC$18*'TR TUSD'!$AC$60</f>
        <v>590.03093153595626</v>
      </c>
      <c r="AD18" s="13">
        <f>SUM($AC$18:$AC$18)</f>
        <v>590.03093153595626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31.536809832100897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31.536809832100897</v>
      </c>
      <c r="AM18" s="13">
        <f ca="1">SUMIF($L$4:$AL$4,"SUBTOTAL",$L$18:$AL$18)</f>
        <v>963.23939468028664</v>
      </c>
      <c r="AP18" s="13">
        <v>1</v>
      </c>
    </row>
    <row r="19" spans="1:42" ht="11.25" customHeight="1" x14ac:dyDescent="0.3">
      <c r="A19" s="96"/>
      <c r="B19" s="96"/>
      <c r="C19" s="96"/>
      <c r="D19" s="96"/>
      <c r="E19" s="96"/>
      <c r="F19" s="96"/>
      <c r="G19" s="18" t="s">
        <v>70</v>
      </c>
      <c r="H19" s="18" t="s">
        <v>68</v>
      </c>
      <c r="I19" s="18">
        <f>'MERCADO TUSD'!$U$16</f>
        <v>0.51100000000000001</v>
      </c>
      <c r="J19" s="15"/>
      <c r="L19" s="13">
        <f>'TR TUSD'!$L$19*'TR TUSD'!$L$60</f>
        <v>29.141905998417748</v>
      </c>
      <c r="M19" s="13">
        <f>'TR TUSD'!$M$19*'TR TUSD'!$M$60</f>
        <v>1.5373170375050098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90.494932846014521</v>
      </c>
      <c r="R19" s="13">
        <f>'TR TUSD'!$R$19*'TR TUSD'!$R$60</f>
        <v>14.291741353971831</v>
      </c>
      <c r="S19" s="13">
        <f>'TR TUSD'!$S$19*'TR TUSD'!$S$60</f>
        <v>0</v>
      </c>
      <c r="T19" s="13">
        <f ca="1">SUM($L$19:$S$19)</f>
        <v>135.46589723590913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68.737395902659202</v>
      </c>
      <c r="Z19" s="13">
        <f>'TR TUSD'!$Z$19</f>
        <v>0</v>
      </c>
      <c r="AA19" s="13">
        <f>'TR TUSD'!$AA$19</f>
        <v>0</v>
      </c>
      <c r="AB19" s="13">
        <f>SUM($U$19:$AA$19)</f>
        <v>68.737395902659202</v>
      </c>
      <c r="AC19" s="13">
        <f>'TR TUSD'!$AC$19*'TR TUSD'!$AC$60</f>
        <v>196.67688728273825</v>
      </c>
      <c r="AD19" s="13">
        <f>SUM($AC$19:$AC$19)</f>
        <v>196.67688728273825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31.536809832100897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31.536809832100897</v>
      </c>
      <c r="AM19" s="13">
        <f ca="1">SUMIF($L$4:$AL$4,"SUBTOTAL",$L$19:$AL$19)</f>
        <v>432.4169902534075</v>
      </c>
      <c r="AP19" s="13">
        <v>1</v>
      </c>
    </row>
    <row r="20" spans="1:42" ht="11.25" customHeight="1" x14ac:dyDescent="0.3">
      <c r="A20" s="96"/>
      <c r="B20" s="96" t="s">
        <v>23</v>
      </c>
      <c r="C20" s="96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5284.665</v>
      </c>
      <c r="J20" s="15"/>
      <c r="L20" s="13">
        <f>'TR TUSD'!$L$20*'TR TUSD'!$L$60</f>
        <v>29.141905998417748</v>
      </c>
      <c r="M20" s="13">
        <f>'TR TUSD'!$M$20*'TR TUSD'!$M$60</f>
        <v>1.5373170375050098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90.494932846014521</v>
      </c>
      <c r="R20" s="13">
        <f>'TR TUSD'!$R$20*'TR TUSD'!$R$60</f>
        <v>14.291741353971831</v>
      </c>
      <c r="S20" s="13">
        <f>'TR TUSD'!$S$20*'TR TUSD'!$S$60</f>
        <v>0</v>
      </c>
      <c r="T20" s="13">
        <f ca="1">SUM($L$20:$S$20)</f>
        <v>135.46589723590913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118.50232787741631</v>
      </c>
      <c r="Z20" s="13">
        <f>'TR TUSD'!$Z$20</f>
        <v>0</v>
      </c>
      <c r="AA20" s="13">
        <f>'TR TUSD'!$AA$20</f>
        <v>0</v>
      </c>
      <c r="AB20" s="13">
        <f>SUM($U$20:$AA$20)</f>
        <v>118.50232787741631</v>
      </c>
      <c r="AC20" s="13">
        <f>'TR TUSD'!$AC$20*'TR TUSD'!$AC$60</f>
        <v>339.0981745177354</v>
      </c>
      <c r="AD20" s="13">
        <f>SUM($AC$20:$AC$20)</f>
        <v>339.0981745177354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31.536809832100897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31.536809832100897</v>
      </c>
      <c r="AM20" s="13">
        <f ca="1">SUMIF($L$4:$AL$4,"SUBTOTAL",$L$20:$AL$20)</f>
        <v>624.60320946316176</v>
      </c>
      <c r="AP20" s="13">
        <v>1</v>
      </c>
    </row>
    <row r="21" spans="1:42" ht="11.25" customHeight="1" x14ac:dyDescent="0.3">
      <c r="A21" s="96"/>
      <c r="B21" s="96"/>
      <c r="C21" s="96"/>
      <c r="D21" s="17" t="s">
        <v>29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53.816000000000003</v>
      </c>
      <c r="J21" s="15"/>
      <c r="L21" s="13">
        <f>'TR TUSD'!$L$21*'TR TUSD'!$L$60</f>
        <v>0</v>
      </c>
      <c r="M21" s="13">
        <f>'TR TUSD'!$M$21*'TR TUSD'!$M$60</f>
        <v>1.5373170375050098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1.5373170375050098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118.50232787741631</v>
      </c>
      <c r="Z21" s="13">
        <f>'TR TUSD'!$Z$21</f>
        <v>0</v>
      </c>
      <c r="AA21" s="13">
        <f>'TR TUSD'!$AA$21</f>
        <v>0</v>
      </c>
      <c r="AB21" s="13">
        <f>SUM($U$21:$AA$21)</f>
        <v>118.50232787741631</v>
      </c>
      <c r="AC21" s="13">
        <f>'TR TUSD'!$AC$21*'TR TUSD'!$AC$60</f>
        <v>339.0981745177354</v>
      </c>
      <c r="AD21" s="13">
        <f>SUM($AC$21:$AC$21)</f>
        <v>339.0981745177354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31.536809832100897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31.536809832100897</v>
      </c>
      <c r="AM21" s="13">
        <f ca="1">SUMIF($L$4:$AL$4,"SUBTOTAL",$L$21:$AL$21)</f>
        <v>490.67462926475764</v>
      </c>
      <c r="AP21" s="13">
        <f>IF((1 - CUSTOS!$M$24)&lt;&gt;0,1/(1 - CUSTOS!$M$24),1)</f>
        <v>1</v>
      </c>
    </row>
    <row r="22" spans="1:42" ht="11.25" customHeight="1" x14ac:dyDescent="0.3">
      <c r="A22" s="96"/>
      <c r="B22" s="96"/>
      <c r="C22" s="96"/>
      <c r="D22" s="17" t="s">
        <v>30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106.858</v>
      </c>
      <c r="J22" s="15"/>
      <c r="L22" s="13">
        <f>'TR TUSD'!$L$22*'TR TUSD'!$L$60</f>
        <v>0</v>
      </c>
      <c r="M22" s="13">
        <f>'TR TUSD'!$M$22*'TR TUSD'!$M$60</f>
        <v>1.5373170375050098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1.5373170375050098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118.50232787741631</v>
      </c>
      <c r="Z22" s="13">
        <f>'TR TUSD'!$Z$22</f>
        <v>0</v>
      </c>
      <c r="AA22" s="13">
        <f>'TR TUSD'!$AA$22</f>
        <v>0</v>
      </c>
      <c r="AB22" s="13">
        <f>SUM($U$22:$AA$22)</f>
        <v>118.50232787741631</v>
      </c>
      <c r="AC22" s="13">
        <f>'TR TUSD'!$AC$22*'TR TUSD'!$AC$60</f>
        <v>339.0981745177354</v>
      </c>
      <c r="AD22" s="13">
        <f>SUM($AC$22:$AC$22)</f>
        <v>339.0981745177354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31.536809832100897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31.536809832100897</v>
      </c>
      <c r="AM22" s="13">
        <f ca="1">SUMIF($L$4:$AL$4,"SUBTOTAL",$L$22:$AL$22)</f>
        <v>490.67462926475764</v>
      </c>
      <c r="AP22" s="13">
        <f>IF((1 - CUSTOS!$M$25)&lt;&gt;0,1/(1 - CUSTOS!$M$25),1)</f>
        <v>1</v>
      </c>
    </row>
    <row r="23" spans="1:42" ht="11.25" customHeight="1" x14ac:dyDescent="0.3">
      <c r="A23" s="96"/>
      <c r="B23" s="96"/>
      <c r="C23" s="96"/>
      <c r="D23" s="17" t="s">
        <v>31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84.406000000000006</v>
      </c>
      <c r="J23" s="15"/>
      <c r="L23" s="13">
        <f>'TR TUSD'!$L$23*'TR TUSD'!$L$60</f>
        <v>0</v>
      </c>
      <c r="M23" s="13">
        <f>'TR TUSD'!$M$23*'TR TUSD'!$M$60</f>
        <v>1.5373170375050098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1.5373170375050098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118.50232787741631</v>
      </c>
      <c r="Z23" s="13">
        <f>'TR TUSD'!$Z$23</f>
        <v>0</v>
      </c>
      <c r="AA23" s="13">
        <f>'TR TUSD'!$AA$23</f>
        <v>0</v>
      </c>
      <c r="AB23" s="13">
        <f>SUM($U$23:$AA$23)</f>
        <v>118.50232787741631</v>
      </c>
      <c r="AC23" s="13">
        <f>'TR TUSD'!$AC$23*'TR TUSD'!$AC$60</f>
        <v>339.0981745177354</v>
      </c>
      <c r="AD23" s="13">
        <f>SUM($AC$23:$AC$23)</f>
        <v>339.0981745177354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31.536809832100897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31.536809832100897</v>
      </c>
      <c r="AM23" s="13">
        <f ca="1">SUMIF($L$4:$AL$4,"SUBTOTAL",$L$23:$AL$23)</f>
        <v>490.67462926475764</v>
      </c>
      <c r="AP23" s="13">
        <f>IF((1 - CUSTOS!$M$26)&lt;&gt;0,1/(1 - CUSTOS!$M$26),1)</f>
        <v>1</v>
      </c>
    </row>
    <row r="24" spans="1:42" ht="11.25" customHeight="1" x14ac:dyDescent="0.3">
      <c r="A24" s="96"/>
      <c r="B24" s="96"/>
      <c r="C24" s="96"/>
      <c r="D24" s="17" t="s">
        <v>32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19.05</v>
      </c>
      <c r="J24" s="15"/>
      <c r="L24" s="13">
        <f>'TR TUSD'!$L$24*'TR TUSD'!$L$60</f>
        <v>0</v>
      </c>
      <c r="M24" s="13">
        <f>'TR TUSD'!$M$24*'TR TUSD'!$M$60</f>
        <v>1.5373170375050098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1.5373170375050098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118.50232787741631</v>
      </c>
      <c r="Z24" s="13">
        <f>'TR TUSD'!$Z$24</f>
        <v>0</v>
      </c>
      <c r="AA24" s="13">
        <f>'TR TUSD'!$AA$24</f>
        <v>0</v>
      </c>
      <c r="AB24" s="13">
        <f>SUM($U$24:$AA$24)</f>
        <v>118.50232787741631</v>
      </c>
      <c r="AC24" s="13">
        <f>'TR TUSD'!$AC$24*'TR TUSD'!$AC$60</f>
        <v>339.0981745177354</v>
      </c>
      <c r="AD24" s="13">
        <f>SUM($AC$24:$AC$24)</f>
        <v>339.0981745177354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31.536809832100897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31.536809832100897</v>
      </c>
      <c r="AM24" s="13">
        <f ca="1">SUMIF($L$4:$AL$4,"SUBTOTAL",$L$24:$AL$24)</f>
        <v>490.67462926475764</v>
      </c>
      <c r="AP24" s="13">
        <f>IF((1 - CUSTOS!$M$27)&lt;&gt;0,1/(1 - CUSTOS!$M$27),1)</f>
        <v>1</v>
      </c>
    </row>
    <row r="25" spans="1:42" ht="11.25" customHeight="1" x14ac:dyDescent="0.3">
      <c r="A25" s="96"/>
      <c r="B25" s="96" t="s">
        <v>84</v>
      </c>
      <c r="C25" s="96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'TR TUSD'!$L$25*'TR TUSD'!$L$60</f>
        <v>29.141905998417748</v>
      </c>
      <c r="M25" s="13">
        <f>'TR TUSD'!$M$25*'TR TUSD'!$M$60</f>
        <v>1.5373170375050098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90.494932846014521</v>
      </c>
      <c r="R25" s="13">
        <f>'TR TUSD'!$R$25*'TR TUSD'!$R$60</f>
        <v>14.291741353971831</v>
      </c>
      <c r="S25" s="13">
        <f>'TR TUSD'!$S$25*'TR TUSD'!$S$60</f>
        <v>0</v>
      </c>
      <c r="T25" s="13">
        <f ca="1">SUM($L$25:$S$25)</f>
        <v>135.46589723590913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118.50232787741631</v>
      </c>
      <c r="Z25" s="13">
        <f>'TR TUSD'!$Z$25</f>
        <v>0</v>
      </c>
      <c r="AA25" s="13">
        <f>'TR TUSD'!$AA$25</f>
        <v>0</v>
      </c>
      <c r="AB25" s="13">
        <f>SUM($U$25:$AA$25)</f>
        <v>118.50232787741631</v>
      </c>
      <c r="AC25" s="13">
        <f>'TR TUSD'!$AC$25*'TR TUSD'!$AC$60</f>
        <v>339.0981745177354</v>
      </c>
      <c r="AD25" s="13">
        <f>SUM($AC$25:$AC$25)</f>
        <v>339.0981745177354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31.536809832100897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31.536809832100897</v>
      </c>
      <c r="AM25" s="13">
        <f ca="1">SUMIF($L$4:$AL$4,"SUBTOTAL",$L$25:$AL$25)</f>
        <v>624.60320946316176</v>
      </c>
      <c r="AP25" s="13">
        <v>1</v>
      </c>
    </row>
    <row r="26" spans="1:42" ht="11.25" customHeight="1" x14ac:dyDescent="0.3">
      <c r="A26" s="96"/>
      <c r="B26" s="96"/>
      <c r="C26" s="96"/>
      <c r="D26" s="17" t="s">
        <v>29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1.5373170375050098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1.5373170375050098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118.50232787741631</v>
      </c>
      <c r="Z26" s="13">
        <f>'TR TUSD'!$Z$26</f>
        <v>0</v>
      </c>
      <c r="AA26" s="13">
        <f>'TR TUSD'!$AA$26</f>
        <v>0</v>
      </c>
      <c r="AB26" s="13">
        <f>SUM($U$26:$AA$26)</f>
        <v>118.50232787741631</v>
      </c>
      <c r="AC26" s="13">
        <f>'TR TUSD'!$AC$26*'TR TUSD'!$AC$60</f>
        <v>339.0981745177354</v>
      </c>
      <c r="AD26" s="13">
        <f>SUM($AC$26:$AC$26)</f>
        <v>339.0981745177354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31.536809832100897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31.536809832100897</v>
      </c>
      <c r="AM26" s="13">
        <f ca="1">SUMIF($L$4:$AL$4,"SUBTOTAL",$L$26:$AL$26)</f>
        <v>490.67462926475764</v>
      </c>
      <c r="AP26" s="13">
        <f>IF((1 - CUSTOS!$M$24)&lt;&gt;0,1/(1 - CUSTOS!$M$24),1)</f>
        <v>1</v>
      </c>
    </row>
    <row r="27" spans="1:42" ht="11.25" customHeight="1" x14ac:dyDescent="0.3">
      <c r="A27" s="96"/>
      <c r="B27" s="96"/>
      <c r="C27" s="96"/>
      <c r="D27" s="17" t="s">
        <v>30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1.5373170375050098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1.5373170375050098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118.50232787741631</v>
      </c>
      <c r="Z27" s="13">
        <f>'TR TUSD'!$Z$27</f>
        <v>0</v>
      </c>
      <c r="AA27" s="13">
        <f>'TR TUSD'!$AA$27</f>
        <v>0</v>
      </c>
      <c r="AB27" s="13">
        <f>SUM($U$27:$AA$27)</f>
        <v>118.50232787741631</v>
      </c>
      <c r="AC27" s="13">
        <f>'TR TUSD'!$AC$27*'TR TUSD'!$AC$60</f>
        <v>339.0981745177354</v>
      </c>
      <c r="AD27" s="13">
        <f>SUM($AC$27:$AC$27)</f>
        <v>339.0981745177354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31.536809832100897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31.536809832100897</v>
      </c>
      <c r="AM27" s="13">
        <f ca="1">SUMIF($L$4:$AL$4,"SUBTOTAL",$L$27:$AL$27)</f>
        <v>490.67462926475764</v>
      </c>
      <c r="AP27" s="13">
        <f>IF((1 - CUSTOS!$M$25)&lt;&gt;0,1/(1 - CUSTOS!$M$25),1)</f>
        <v>1</v>
      </c>
    </row>
    <row r="28" spans="1:42" ht="11.25" customHeight="1" x14ac:dyDescent="0.3">
      <c r="A28" s="96"/>
      <c r="B28" s="96"/>
      <c r="C28" s="96"/>
      <c r="D28" s="17" t="s">
        <v>31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1.5373170375050098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1.5373170375050098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118.50232787741631</v>
      </c>
      <c r="Z28" s="13">
        <f>'TR TUSD'!$Z$28</f>
        <v>0</v>
      </c>
      <c r="AA28" s="13">
        <f>'TR TUSD'!$AA$28</f>
        <v>0</v>
      </c>
      <c r="AB28" s="13">
        <f>SUM($U$28:$AA$28)</f>
        <v>118.50232787741631</v>
      </c>
      <c r="AC28" s="13">
        <f>'TR TUSD'!$AC$28*'TR TUSD'!$AC$60</f>
        <v>339.0981745177354</v>
      </c>
      <c r="AD28" s="13">
        <f>SUM($AC$28:$AC$28)</f>
        <v>339.0981745177354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31.536809832100897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31.536809832100897</v>
      </c>
      <c r="AM28" s="13">
        <f ca="1">SUMIF($L$4:$AL$4,"SUBTOTAL",$L$28:$AL$28)</f>
        <v>490.67462926475764</v>
      </c>
      <c r="AP28" s="13">
        <f>IF((1 - CUSTOS!$M$26)&lt;&gt;0,1/(1 - CUSTOS!$M$26),1)</f>
        <v>1</v>
      </c>
    </row>
    <row r="29" spans="1:42" ht="11.25" customHeight="1" x14ac:dyDescent="0.3">
      <c r="A29" s="96"/>
      <c r="B29" s="96"/>
      <c r="C29" s="96"/>
      <c r="D29" s="17" t="s">
        <v>32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1.5373170375050098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1.5373170375050098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118.50232787741631</v>
      </c>
      <c r="Z29" s="13">
        <f>'TR TUSD'!$Z$29</f>
        <v>0</v>
      </c>
      <c r="AA29" s="13">
        <f>'TR TUSD'!$AA$29</f>
        <v>0</v>
      </c>
      <c r="AB29" s="13">
        <f>SUM($U$29:$AA$29)</f>
        <v>118.50232787741631</v>
      </c>
      <c r="AC29" s="13">
        <f>'TR TUSD'!$AC$29*'TR TUSD'!$AC$60</f>
        <v>339.0981745177354</v>
      </c>
      <c r="AD29" s="13">
        <f>SUM($AC$29:$AC$29)</f>
        <v>339.0981745177354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31.536809832100897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31.536809832100897</v>
      </c>
      <c r="AM29" s="13">
        <f ca="1">SUMIF($L$4:$AL$4,"SUBTOTAL",$L$29:$AL$29)</f>
        <v>490.67462926475764</v>
      </c>
      <c r="AP29" s="13">
        <f>IF((1 - CUSTOS!$M$27)&lt;&gt;0,1/(1 - CUSTOS!$M$27),1)</f>
        <v>1</v>
      </c>
    </row>
    <row r="30" spans="1:42" ht="11.25" customHeight="1" x14ac:dyDescent="0.3">
      <c r="A30" s="96" t="s">
        <v>41</v>
      </c>
      <c r="B30" s="96" t="s">
        <v>33</v>
      </c>
      <c r="C30" s="96" t="s">
        <v>42</v>
      </c>
      <c r="D30" s="96" t="s">
        <v>25</v>
      </c>
      <c r="E30" s="96" t="s">
        <v>25</v>
      </c>
      <c r="F30" s="96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'TR TUSD'!$L$30*'TR TUSD'!$L$60</f>
        <v>29.141905998417748</v>
      </c>
      <c r="M30" s="13">
        <f>'TR TUSD'!$M$30*'TR TUSD'!$M$60</f>
        <v>1.5373170375050098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90.494932846014521</v>
      </c>
      <c r="R30" s="13">
        <f>'TR TUSD'!$R$30*'TR TUSD'!$R$60</f>
        <v>14.291741353971831</v>
      </c>
      <c r="S30" s="13">
        <f>'TR TUSD'!$S$30*'TR TUSD'!$S$60</f>
        <v>0</v>
      </c>
      <c r="T30" s="13">
        <f ca="1">SUM($L$30:$S$30)</f>
        <v>135.46589723590913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367.37200917280205</v>
      </c>
      <c r="Z30" s="13">
        <f>'TR TUSD'!$Z$30</f>
        <v>0</v>
      </c>
      <c r="AA30" s="13">
        <f>'TR TUSD'!$AA$30</f>
        <v>0</v>
      </c>
      <c r="AB30" s="13">
        <f>SUM($U$30:$AA$30)</f>
        <v>367.37200917280205</v>
      </c>
      <c r="AC30" s="13">
        <f>'TR TUSD'!$AC$30*'TR TUSD'!$AC$60</f>
        <v>1051.2043410049798</v>
      </c>
      <c r="AD30" s="13">
        <f>SUM($AC$30:$AC$30)</f>
        <v>1051.2043410049798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31.536809832100897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31.536809832100897</v>
      </c>
      <c r="AM30" s="13">
        <f ca="1">SUMIF($L$4:$AL$4,"SUBTOTAL",$L$30:$AL$30)</f>
        <v>1585.579057245792</v>
      </c>
      <c r="AP30" s="13">
        <f>IF((1 - CUSTOS!$M$28)&lt;&gt;0,1/(1 - CUSTOS!$M$28),1)</f>
        <v>1</v>
      </c>
    </row>
    <row r="31" spans="1:42" ht="11.25" customHeight="1" x14ac:dyDescent="0.3">
      <c r="A31" s="96"/>
      <c r="B31" s="96"/>
      <c r="C31" s="96"/>
      <c r="D31" s="96"/>
      <c r="E31" s="96"/>
      <c r="F31" s="96"/>
      <c r="G31" s="18" t="s">
        <v>82</v>
      </c>
      <c r="H31" s="18" t="s">
        <v>68</v>
      </c>
      <c r="I31" s="18">
        <f>'MERCADO TUSD'!$U$28</f>
        <v>0</v>
      </c>
      <c r="J31" s="15"/>
      <c r="L31" s="13">
        <f>'TR TUSD'!$L$31*'TR TUSD'!$L$60</f>
        <v>29.141905998417748</v>
      </c>
      <c r="M31" s="13">
        <f>'TR TUSD'!$M$31*'TR TUSD'!$M$60</f>
        <v>1.5373170375050098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90.494932846014521</v>
      </c>
      <c r="R31" s="13">
        <f>'TR TUSD'!$R$31*'TR TUSD'!$R$60</f>
        <v>14.291741353971831</v>
      </c>
      <c r="S31" s="13">
        <f>'TR TUSD'!$S$31*'TR TUSD'!$S$60</f>
        <v>0</v>
      </c>
      <c r="T31" s="13">
        <f ca="1">SUM($L$31:$S$31)</f>
        <v>135.46589723590913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220.42706448267555</v>
      </c>
      <c r="Z31" s="13">
        <f>'TR TUSD'!$Z$31</f>
        <v>0</v>
      </c>
      <c r="AA31" s="13">
        <f>'TR TUSD'!$AA$31</f>
        <v>0</v>
      </c>
      <c r="AB31" s="13">
        <f>SUM($U$31:$AA$31)</f>
        <v>220.42706448267555</v>
      </c>
      <c r="AC31" s="13">
        <f>'TR TUSD'!$AC$31*'TR TUSD'!$AC$60</f>
        <v>630.72267651971902</v>
      </c>
      <c r="AD31" s="13">
        <f>SUM($AC$31:$AC$31)</f>
        <v>630.72267651971902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31.536809832100897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31.536809832100897</v>
      </c>
      <c r="AM31" s="13">
        <f ca="1">SUMIF($L$4:$AL$4,"SUBTOTAL",$L$31:$AL$31)</f>
        <v>1018.1524480704046</v>
      </c>
      <c r="AP31" s="13">
        <f>IF((1 - CUSTOS!$M$28)&lt;&gt;0,1/(1 - CUSTOS!$M$28),1)</f>
        <v>1</v>
      </c>
    </row>
    <row r="32" spans="1:42" ht="11.25" customHeight="1" x14ac:dyDescent="0.3">
      <c r="A32" s="96"/>
      <c r="B32" s="96"/>
      <c r="C32" s="96"/>
      <c r="D32" s="96"/>
      <c r="E32" s="96"/>
      <c r="F32" s="96"/>
      <c r="G32" s="18" t="s">
        <v>70</v>
      </c>
      <c r="H32" s="18" t="s">
        <v>68</v>
      </c>
      <c r="I32" s="18">
        <f>'MERCADO TUSD'!$U$29</f>
        <v>0</v>
      </c>
      <c r="J32" s="15"/>
      <c r="L32" s="13">
        <f>'TR TUSD'!$L$32*'TR TUSD'!$L$60</f>
        <v>29.141905998417748</v>
      </c>
      <c r="M32" s="13">
        <f>'TR TUSD'!$M$32*'TR TUSD'!$M$60</f>
        <v>1.5373170375050098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90.494932846014521</v>
      </c>
      <c r="R32" s="13">
        <f>'TR TUSD'!$R$32*'TR TUSD'!$R$60</f>
        <v>14.291741353971831</v>
      </c>
      <c r="S32" s="13">
        <f>'TR TUSD'!$S$32*'TR TUSD'!$S$60</f>
        <v>0</v>
      </c>
      <c r="T32" s="13">
        <f ca="1">SUM($L$32:$S$32)</f>
        <v>135.46589723590913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73.475688160891849</v>
      </c>
      <c r="Z32" s="13">
        <f>'TR TUSD'!$Z$32</f>
        <v>0</v>
      </c>
      <c r="AA32" s="13">
        <f>'TR TUSD'!$AA$32</f>
        <v>0</v>
      </c>
      <c r="AB32" s="13">
        <f>SUM($U$32:$AA$32)</f>
        <v>73.475688160891849</v>
      </c>
      <c r="AC32" s="13">
        <f>'TR TUSD'!$AC$32*'TR TUSD'!$AC$60</f>
        <v>210.24083224263043</v>
      </c>
      <c r="AD32" s="13">
        <f>SUM($AC$32:$AC$32)</f>
        <v>210.24083224263043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31.536809832100897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31.536809832100897</v>
      </c>
      <c r="AM32" s="13">
        <f ca="1">SUMIF($L$4:$AL$4,"SUBTOTAL",$L$32:$AL$32)</f>
        <v>450.71922747153229</v>
      </c>
      <c r="AP32" s="13">
        <f>IF((1 - CUSTOS!$M$28)&lt;&gt;0,1/(1 - CUSTOS!$M$28),1)</f>
        <v>1</v>
      </c>
    </row>
    <row r="33" spans="1:42" ht="11.25" customHeight="1" x14ac:dyDescent="0.3">
      <c r="A33" s="96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1383.9670000000001</v>
      </c>
      <c r="J33" s="15"/>
      <c r="L33" s="13">
        <f>'TR TUSD'!$L$33*'TR TUSD'!$L$60</f>
        <v>29.141905998417748</v>
      </c>
      <c r="M33" s="13">
        <f>'TR TUSD'!$M$33*'TR TUSD'!$M$60</f>
        <v>1.5373170375050098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90.494932846014521</v>
      </c>
      <c r="R33" s="13">
        <f>'TR TUSD'!$R$33*'TR TUSD'!$R$60</f>
        <v>14.291741353971831</v>
      </c>
      <c r="S33" s="13">
        <f>'TR TUSD'!$S$33*'TR TUSD'!$S$60</f>
        <v>0</v>
      </c>
      <c r="T33" s="13">
        <f ca="1">SUM($L$33:$S$33)</f>
        <v>135.46589723590913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118.50232787741631</v>
      </c>
      <c r="Z33" s="13">
        <f>'TR TUSD'!$Z$33</f>
        <v>0</v>
      </c>
      <c r="AA33" s="13">
        <f>'TR TUSD'!$AA$33</f>
        <v>0</v>
      </c>
      <c r="AB33" s="13">
        <f>SUM($U$33:$AA$33)</f>
        <v>118.50232787741631</v>
      </c>
      <c r="AC33" s="13">
        <f>'TR TUSD'!$AC$33*'TR TUSD'!$AC$60</f>
        <v>339.0981745177354</v>
      </c>
      <c r="AD33" s="13">
        <f>SUM($AC$33:$AC$33)</f>
        <v>339.0981745177354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31.536809832100897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31.536809832100897</v>
      </c>
      <c r="AM33" s="13">
        <f ca="1">SUMIF($L$4:$AL$4,"SUBTOTAL",$L$33:$AL$33)</f>
        <v>624.60320946316176</v>
      </c>
      <c r="AP33" s="13">
        <f>IF((1 - CUSTOS!$M$28)&lt;&gt;0,1/(1 - CUSTOS!$M$28),1)</f>
        <v>1</v>
      </c>
    </row>
    <row r="34" spans="1:42" ht="11.25" customHeight="1" x14ac:dyDescent="0.3">
      <c r="A34" s="96"/>
      <c r="B34" s="96" t="s">
        <v>33</v>
      </c>
      <c r="C34" s="96" t="s">
        <v>42</v>
      </c>
      <c r="D34" s="96" t="s">
        <v>85</v>
      </c>
      <c r="E34" s="96" t="s">
        <v>25</v>
      </c>
      <c r="F34" s="96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'TR TUSD'!$L$34*'TR TUSD'!$L$60</f>
        <v>29.141905998417748</v>
      </c>
      <c r="M34" s="13">
        <f>'TR TUSD'!$M$34*'TR TUSD'!$M$60</f>
        <v>1.5373170375050098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90.494932846014521</v>
      </c>
      <c r="R34" s="13">
        <f>'TR TUSD'!$R$34*'TR TUSD'!$R$60</f>
        <v>14.291741353971831</v>
      </c>
      <c r="S34" s="13">
        <f>'TR TUSD'!$S$34*'TR TUSD'!$S$60</f>
        <v>0</v>
      </c>
      <c r="T34" s="13">
        <f ca="1">SUM($L$34:$S$34)</f>
        <v>135.46589723590913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367.37200917280205</v>
      </c>
      <c r="Z34" s="13">
        <f>'TR TUSD'!$Z$34</f>
        <v>0</v>
      </c>
      <c r="AA34" s="13">
        <f>'TR TUSD'!$AA$34</f>
        <v>0</v>
      </c>
      <c r="AB34" s="13">
        <f>SUM($U$34:$AA$34)</f>
        <v>367.37200917280205</v>
      </c>
      <c r="AC34" s="13">
        <f>'TR TUSD'!$AC$34*'TR TUSD'!$AC$60</f>
        <v>1051.2043410049798</v>
      </c>
      <c r="AD34" s="13">
        <f>SUM($AC$34:$AC$34)</f>
        <v>1051.2043410049798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31.536809832100897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31.536809832100897</v>
      </c>
      <c r="AM34" s="13">
        <f ca="1">SUMIF($L$4:$AL$4,"SUBTOTAL",$L$34:$AL$34)</f>
        <v>1585.579057245792</v>
      </c>
      <c r="AP34" s="13">
        <f>IF((1 - CUSTOS!$M$29)&lt;&gt;0,1/(1 - CUSTOS!$M$29),1)</f>
        <v>1</v>
      </c>
    </row>
    <row r="35" spans="1:42" ht="11.25" customHeight="1" x14ac:dyDescent="0.3">
      <c r="A35" s="96"/>
      <c r="B35" s="96"/>
      <c r="C35" s="96"/>
      <c r="D35" s="96"/>
      <c r="E35" s="96"/>
      <c r="F35" s="96"/>
      <c r="G35" s="18" t="s">
        <v>82</v>
      </c>
      <c r="H35" s="18" t="s">
        <v>68</v>
      </c>
      <c r="I35" s="18">
        <f>'MERCADO TUSD'!$U$32</f>
        <v>0</v>
      </c>
      <c r="J35" s="15"/>
      <c r="L35" s="13">
        <f>'TR TUSD'!$L$35*'TR TUSD'!$L$60</f>
        <v>29.141905998417748</v>
      </c>
      <c r="M35" s="13">
        <f>'TR TUSD'!$M$35*'TR TUSD'!$M$60</f>
        <v>1.5373170375050098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90.494932846014521</v>
      </c>
      <c r="R35" s="13">
        <f>'TR TUSD'!$R$35*'TR TUSD'!$R$60</f>
        <v>14.291741353971831</v>
      </c>
      <c r="S35" s="13">
        <f>'TR TUSD'!$S$35*'TR TUSD'!$S$60</f>
        <v>0</v>
      </c>
      <c r="T35" s="13">
        <f ca="1">SUM($L$35:$S$35)</f>
        <v>135.46589723590913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220.42706448267555</v>
      </c>
      <c r="Z35" s="13">
        <f>'TR TUSD'!$Z$35</f>
        <v>0</v>
      </c>
      <c r="AA35" s="13">
        <f>'TR TUSD'!$AA$35</f>
        <v>0</v>
      </c>
      <c r="AB35" s="13">
        <f>SUM($U$35:$AA$35)</f>
        <v>220.42706448267555</v>
      </c>
      <c r="AC35" s="13">
        <f>'TR TUSD'!$AC$35*'TR TUSD'!$AC$60</f>
        <v>630.72267651971902</v>
      </c>
      <c r="AD35" s="13">
        <f>SUM($AC$35:$AC$35)</f>
        <v>630.72267651971902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31.536809832100897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31.536809832100897</v>
      </c>
      <c r="AM35" s="13">
        <f ca="1">SUMIF($L$4:$AL$4,"SUBTOTAL",$L$35:$AL$35)</f>
        <v>1018.1524480704046</v>
      </c>
      <c r="AP35" s="13">
        <f>IF((1 - CUSTOS!$M$29)&lt;&gt;0,1/(1 - CUSTOS!$M$29),1)</f>
        <v>1</v>
      </c>
    </row>
    <row r="36" spans="1:42" ht="11.25" customHeight="1" x14ac:dyDescent="0.3">
      <c r="A36" s="96"/>
      <c r="B36" s="96"/>
      <c r="C36" s="96"/>
      <c r="D36" s="96"/>
      <c r="E36" s="96"/>
      <c r="F36" s="96"/>
      <c r="G36" s="18" t="s">
        <v>70</v>
      </c>
      <c r="H36" s="18" t="s">
        <v>68</v>
      </c>
      <c r="I36" s="18">
        <f>'MERCADO TUSD'!$U$33</f>
        <v>0</v>
      </c>
      <c r="J36" s="15"/>
      <c r="L36" s="13">
        <f>'TR TUSD'!$L$36*'TR TUSD'!$L$60</f>
        <v>29.141905998417748</v>
      </c>
      <c r="M36" s="13">
        <f>'TR TUSD'!$M$36*'TR TUSD'!$M$60</f>
        <v>1.5373170375050098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90.494932846014521</v>
      </c>
      <c r="R36" s="13">
        <f>'TR TUSD'!$R$36*'TR TUSD'!$R$60</f>
        <v>14.291741353971831</v>
      </c>
      <c r="S36" s="13">
        <f>'TR TUSD'!$S$36*'TR TUSD'!$S$60</f>
        <v>0</v>
      </c>
      <c r="T36" s="13">
        <f ca="1">SUM($L$36:$S$36)</f>
        <v>135.46589723590913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73.475688160891849</v>
      </c>
      <c r="Z36" s="13">
        <f>'TR TUSD'!$Z$36</f>
        <v>0</v>
      </c>
      <c r="AA36" s="13">
        <f>'TR TUSD'!$AA$36</f>
        <v>0</v>
      </c>
      <c r="AB36" s="13">
        <f>SUM($U$36:$AA$36)</f>
        <v>73.475688160891849</v>
      </c>
      <c r="AC36" s="13">
        <f>'TR TUSD'!$AC$36*'TR TUSD'!$AC$60</f>
        <v>210.24083224263043</v>
      </c>
      <c r="AD36" s="13">
        <f>SUM($AC$36:$AC$36)</f>
        <v>210.24083224263043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31.536809832100897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31.536809832100897</v>
      </c>
      <c r="AM36" s="13">
        <f ca="1">SUMIF($L$4:$AL$4,"SUBTOTAL",$L$36:$AL$36)</f>
        <v>450.71922747153229</v>
      </c>
      <c r="AP36" s="13">
        <f>IF((1 - CUSTOS!$M$29)&lt;&gt;0,1/(1 - CUSTOS!$M$29),1)</f>
        <v>1</v>
      </c>
    </row>
    <row r="37" spans="1:42" ht="11.25" customHeight="1" x14ac:dyDescent="0.3">
      <c r="A37" s="96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'TR TUSD'!$L$37*'TR TUSD'!$L$60</f>
        <v>29.141905998417748</v>
      </c>
      <c r="M37" s="13">
        <f>'TR TUSD'!$M$37*'TR TUSD'!$M$60</f>
        <v>1.5373170375050098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90.494932846014521</v>
      </c>
      <c r="R37" s="13">
        <f>'TR TUSD'!$R$37*'TR TUSD'!$R$60</f>
        <v>14.291741353971831</v>
      </c>
      <c r="S37" s="13">
        <f>'TR TUSD'!$S$37*'TR TUSD'!$S$60</f>
        <v>0</v>
      </c>
      <c r="T37" s="13">
        <f ca="1">SUM($L$37:$S$37)</f>
        <v>135.46589723590913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118.50232787741631</v>
      </c>
      <c r="Z37" s="13">
        <f>'TR TUSD'!$Z$37</f>
        <v>0</v>
      </c>
      <c r="AA37" s="13">
        <f>'TR TUSD'!$AA$37</f>
        <v>0</v>
      </c>
      <c r="AB37" s="13">
        <f>SUM($U$37:$AA$37)</f>
        <v>118.50232787741631</v>
      </c>
      <c r="AC37" s="13">
        <f>'TR TUSD'!$AC$37*'TR TUSD'!$AC$60</f>
        <v>339.0981745177354</v>
      </c>
      <c r="AD37" s="13">
        <f>SUM($AC$37:$AC$37)</f>
        <v>339.0981745177354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31.536809832100897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31.536809832100897</v>
      </c>
      <c r="AM37" s="13">
        <f ca="1">SUMIF($L$4:$AL$4,"SUBTOTAL",$L$37:$AL$37)</f>
        <v>624.60320946316176</v>
      </c>
      <c r="AP37" s="13">
        <f>IF((1 - CUSTOS!$M$29)&lt;&gt;0,1/(1 - CUSTOS!$M$29),1)</f>
        <v>1</v>
      </c>
    </row>
    <row r="38" spans="1:42" ht="11.25" customHeight="1" x14ac:dyDescent="0.3">
      <c r="A38" s="96"/>
      <c r="B38" s="96" t="s">
        <v>33</v>
      </c>
      <c r="C38" s="96" t="s">
        <v>42</v>
      </c>
      <c r="D38" s="96" t="s">
        <v>86</v>
      </c>
      <c r="E38" s="96" t="s">
        <v>25</v>
      </c>
      <c r="F38" s="96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'TR TUSD'!$L$38*'TR TUSD'!$L$60</f>
        <v>29.141905998417748</v>
      </c>
      <c r="M38" s="13">
        <f>'TR TUSD'!$M$38*'TR TUSD'!$M$60</f>
        <v>1.5373170375050098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90.494932846014521</v>
      </c>
      <c r="R38" s="13">
        <f>'TR TUSD'!$R$38*'TR TUSD'!$R$60</f>
        <v>14.291741353971831</v>
      </c>
      <c r="S38" s="13">
        <f>'TR TUSD'!$S$38*'TR TUSD'!$S$60</f>
        <v>0</v>
      </c>
      <c r="T38" s="13">
        <f ca="1">SUM($L$38:$S$38)</f>
        <v>135.46589723590913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367.37200917280205</v>
      </c>
      <c r="Z38" s="13">
        <f>'TR TUSD'!$Z$38</f>
        <v>0</v>
      </c>
      <c r="AA38" s="13">
        <f>'TR TUSD'!$AA$38</f>
        <v>0</v>
      </c>
      <c r="AB38" s="13">
        <f>SUM($U$38:$AA$38)</f>
        <v>367.37200917280205</v>
      </c>
      <c r="AC38" s="13">
        <f>'TR TUSD'!$AC$38*'TR TUSD'!$AC$60</f>
        <v>1051.2043410049798</v>
      </c>
      <c r="AD38" s="13">
        <f>SUM($AC$38:$AC$38)</f>
        <v>1051.2043410049798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31.536809832100897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31.536809832100897</v>
      </c>
      <c r="AM38" s="13">
        <f ca="1">SUMIF($L$4:$AL$4,"SUBTOTAL",$L$38:$AL$38)</f>
        <v>1585.579057245792</v>
      </c>
      <c r="AP38" s="13">
        <f>IF((1 - CUSTOS!$M$30)&lt;&gt;0,1/(1 - CUSTOS!$M$30),1)</f>
        <v>1</v>
      </c>
    </row>
    <row r="39" spans="1:42" ht="11.25" customHeight="1" x14ac:dyDescent="0.3">
      <c r="A39" s="96"/>
      <c r="B39" s="96"/>
      <c r="C39" s="96"/>
      <c r="D39" s="96"/>
      <c r="E39" s="96"/>
      <c r="F39" s="96"/>
      <c r="G39" s="18" t="s">
        <v>82</v>
      </c>
      <c r="H39" s="18" t="s">
        <v>68</v>
      </c>
      <c r="I39" s="18">
        <f>'MERCADO TUSD'!$U$36</f>
        <v>0</v>
      </c>
      <c r="J39" s="15"/>
      <c r="L39" s="13">
        <f>'TR TUSD'!$L$39*'TR TUSD'!$L$60</f>
        <v>29.141905998417748</v>
      </c>
      <c r="M39" s="13">
        <f>'TR TUSD'!$M$39*'TR TUSD'!$M$60</f>
        <v>1.5373170375050098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90.494932846014521</v>
      </c>
      <c r="R39" s="13">
        <f>'TR TUSD'!$R$39*'TR TUSD'!$R$60</f>
        <v>14.291741353971831</v>
      </c>
      <c r="S39" s="13">
        <f>'TR TUSD'!$S$39*'TR TUSD'!$S$60</f>
        <v>0</v>
      </c>
      <c r="T39" s="13">
        <f ca="1">SUM($L$39:$S$39)</f>
        <v>135.46589723590913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220.42706448267555</v>
      </c>
      <c r="Z39" s="13">
        <f>'TR TUSD'!$Z$39</f>
        <v>0</v>
      </c>
      <c r="AA39" s="13">
        <f>'TR TUSD'!$AA$39</f>
        <v>0</v>
      </c>
      <c r="AB39" s="13">
        <f>SUM($U$39:$AA$39)</f>
        <v>220.42706448267555</v>
      </c>
      <c r="AC39" s="13">
        <f>'TR TUSD'!$AC$39*'TR TUSD'!$AC$60</f>
        <v>630.72267651971902</v>
      </c>
      <c r="AD39" s="13">
        <f>SUM($AC$39:$AC$39)</f>
        <v>630.72267651971902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31.536809832100897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31.536809832100897</v>
      </c>
      <c r="AM39" s="13">
        <f ca="1">SUMIF($L$4:$AL$4,"SUBTOTAL",$L$39:$AL$39)</f>
        <v>1018.1524480704046</v>
      </c>
      <c r="AP39" s="13">
        <f>IF((1 - CUSTOS!$M$30)&lt;&gt;0,1/(1 - CUSTOS!$M$30),1)</f>
        <v>1</v>
      </c>
    </row>
    <row r="40" spans="1:42" ht="11.25" customHeight="1" x14ac:dyDescent="0.3">
      <c r="A40" s="96"/>
      <c r="B40" s="96"/>
      <c r="C40" s="96"/>
      <c r="D40" s="96"/>
      <c r="E40" s="96"/>
      <c r="F40" s="96"/>
      <c r="G40" s="18" t="s">
        <v>70</v>
      </c>
      <c r="H40" s="18" t="s">
        <v>68</v>
      </c>
      <c r="I40" s="18">
        <f>'MERCADO TUSD'!$U$37</f>
        <v>0</v>
      </c>
      <c r="J40" s="15"/>
      <c r="L40" s="13">
        <f>'TR TUSD'!$L$40*'TR TUSD'!$L$60</f>
        <v>29.141905998417748</v>
      </c>
      <c r="M40" s="13">
        <f>'TR TUSD'!$M$40*'TR TUSD'!$M$60</f>
        <v>1.5373170375050098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90.494932846014521</v>
      </c>
      <c r="R40" s="13">
        <f>'TR TUSD'!$R$40*'TR TUSD'!$R$60</f>
        <v>14.291741353971831</v>
      </c>
      <c r="S40" s="13">
        <f>'TR TUSD'!$S$40*'TR TUSD'!$S$60</f>
        <v>0</v>
      </c>
      <c r="T40" s="13">
        <f ca="1">SUM($L$40:$S$40)</f>
        <v>135.46589723590913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73.475688160891849</v>
      </c>
      <c r="Z40" s="13">
        <f>'TR TUSD'!$Z$40</f>
        <v>0</v>
      </c>
      <c r="AA40" s="13">
        <f>'TR TUSD'!$AA$40</f>
        <v>0</v>
      </c>
      <c r="AB40" s="13">
        <f>SUM($U$40:$AA$40)</f>
        <v>73.475688160891849</v>
      </c>
      <c r="AC40" s="13">
        <f>'TR TUSD'!$AC$40*'TR TUSD'!$AC$60</f>
        <v>210.24083224263043</v>
      </c>
      <c r="AD40" s="13">
        <f>SUM($AC$40:$AC$40)</f>
        <v>210.24083224263043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31.536809832100897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31.536809832100897</v>
      </c>
      <c r="AM40" s="13">
        <f ca="1">SUMIF($L$4:$AL$4,"SUBTOTAL",$L$40:$AL$40)</f>
        <v>450.71922747153229</v>
      </c>
      <c r="AP40" s="13">
        <f>IF((1 - CUSTOS!$M$30)&lt;&gt;0,1/(1 - CUSTOS!$M$30),1)</f>
        <v>1</v>
      </c>
    </row>
    <row r="41" spans="1:42" ht="11.25" customHeight="1" x14ac:dyDescent="0.3">
      <c r="A41" s="96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'TR TUSD'!$L$41*'TR TUSD'!$L$60</f>
        <v>29.141905998417748</v>
      </c>
      <c r="M41" s="13">
        <f>'TR TUSD'!$M$41*'TR TUSD'!$M$60</f>
        <v>1.5373170375050098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90.494932846014521</v>
      </c>
      <c r="R41" s="13">
        <f>'TR TUSD'!$R$41*'TR TUSD'!$R$60</f>
        <v>14.291741353971831</v>
      </c>
      <c r="S41" s="13">
        <f>'TR TUSD'!$S$41*'TR TUSD'!$S$60</f>
        <v>0</v>
      </c>
      <c r="T41" s="13">
        <f ca="1">SUM($L$41:$S$41)</f>
        <v>135.46589723590913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118.50232787741631</v>
      </c>
      <c r="Z41" s="13">
        <f>'TR TUSD'!$Z$41</f>
        <v>0</v>
      </c>
      <c r="AA41" s="13">
        <f>'TR TUSD'!$AA$41</f>
        <v>0</v>
      </c>
      <c r="AB41" s="13">
        <f>SUM($U$41:$AA$41)</f>
        <v>118.50232787741631</v>
      </c>
      <c r="AC41" s="13">
        <f>'TR TUSD'!$AC$41*'TR TUSD'!$AC$60</f>
        <v>339.0981745177354</v>
      </c>
      <c r="AD41" s="13">
        <f>SUM($AC$41:$AC$41)</f>
        <v>339.0981745177354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31.536809832100897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31.536809832100897</v>
      </c>
      <c r="AM41" s="13">
        <f ca="1">SUMIF($L$4:$AL$4,"SUBTOTAL",$L$41:$AL$41)</f>
        <v>624.60320946316176</v>
      </c>
      <c r="AP41" s="13">
        <f>IF((1 - CUSTOS!$M$30)&lt;&gt;0,1/(1 - CUSTOS!$M$30),1)</f>
        <v>1</v>
      </c>
    </row>
    <row r="42" spans="1:42" ht="11.25" customHeight="1" x14ac:dyDescent="0.3">
      <c r="A42" s="96"/>
      <c r="B42" s="96" t="s">
        <v>84</v>
      </c>
      <c r="C42" s="96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'TR TUSD'!$L$42*'TR TUSD'!$L$60</f>
        <v>29.141905998417748</v>
      </c>
      <c r="M42" s="13">
        <f>'TR TUSD'!$M$42*'TR TUSD'!$M$60</f>
        <v>1.5373170375050098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90.494932846014521</v>
      </c>
      <c r="R42" s="13">
        <f>'TR TUSD'!$R$42*'TR TUSD'!$R$60</f>
        <v>14.291741353971831</v>
      </c>
      <c r="S42" s="13">
        <f>'TR TUSD'!$S$42*'TR TUSD'!$S$60</f>
        <v>0</v>
      </c>
      <c r="T42" s="13">
        <f ca="1">SUM($L$42:$S$42)</f>
        <v>135.46589723590913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118.50232787741631</v>
      </c>
      <c r="Z42" s="13">
        <f>'TR TUSD'!$Z$42</f>
        <v>0</v>
      </c>
      <c r="AA42" s="13">
        <f>'TR TUSD'!$AA$42</f>
        <v>0</v>
      </c>
      <c r="AB42" s="13">
        <f>SUM($U$42:$AA$42)</f>
        <v>118.50232787741631</v>
      </c>
      <c r="AC42" s="13">
        <f>'TR TUSD'!$AC$42*'TR TUSD'!$AC$60</f>
        <v>339.0981745177354</v>
      </c>
      <c r="AD42" s="13">
        <f>SUM($AC$42:$AC$42)</f>
        <v>339.0981745177354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31.536809832100897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31.536809832100897</v>
      </c>
      <c r="AM42" s="13">
        <f ca="1">SUMIF($L$4:$AL$4,"SUBTOTAL",$L$42:$AL$42)</f>
        <v>624.60320946316176</v>
      </c>
      <c r="AP42" s="13">
        <f>IF((1 - CUSTOS!$M$28)&lt;&gt;0,1/(1 - CUSTOS!$M$28),1)</f>
        <v>1</v>
      </c>
    </row>
    <row r="43" spans="1:42" ht="11.25" customHeight="1" x14ac:dyDescent="0.3">
      <c r="A43" s="96"/>
      <c r="B43" s="96"/>
      <c r="C43" s="96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'TR TUSD'!$L$43*'TR TUSD'!$L$60</f>
        <v>29.141905998417748</v>
      </c>
      <c r="M43" s="13">
        <f>'TR TUSD'!$M$43*'TR TUSD'!$M$60</f>
        <v>1.5373170375050098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90.494932846014521</v>
      </c>
      <c r="R43" s="13">
        <f>'TR TUSD'!$R$43*'TR TUSD'!$R$60</f>
        <v>14.291741353971831</v>
      </c>
      <c r="S43" s="13">
        <f>'TR TUSD'!$S$43*'TR TUSD'!$S$60</f>
        <v>0</v>
      </c>
      <c r="T43" s="13">
        <f ca="1">SUM($L$43:$S$43)</f>
        <v>135.46589723590913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118.50232787741631</v>
      </c>
      <c r="Z43" s="13">
        <f>'TR TUSD'!$Z$43</f>
        <v>0</v>
      </c>
      <c r="AA43" s="13">
        <f>'TR TUSD'!$AA$43</f>
        <v>0</v>
      </c>
      <c r="AB43" s="13">
        <f>SUM($U$43:$AA$43)</f>
        <v>118.50232787741631</v>
      </c>
      <c r="AC43" s="13">
        <f>'TR TUSD'!$AC$43*'TR TUSD'!$AC$60</f>
        <v>339.0981745177354</v>
      </c>
      <c r="AD43" s="13">
        <f>SUM($AC$43:$AC$43)</f>
        <v>339.0981745177354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31.536809832100897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31.536809832100897</v>
      </c>
      <c r="AM43" s="13">
        <f ca="1">SUMIF($L$4:$AL$4,"SUBTOTAL",$L$43:$AL$43)</f>
        <v>624.60320946316176</v>
      </c>
      <c r="AP43" s="13">
        <f>IF((1 - CUSTOS!$M$29)&lt;&gt;0,1/(1 - CUSTOS!$M$29),1)</f>
        <v>1</v>
      </c>
    </row>
    <row r="44" spans="1:42" ht="11.25" customHeight="1" x14ac:dyDescent="0.3">
      <c r="A44" s="96"/>
      <c r="B44" s="96"/>
      <c r="C44" s="96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'TR TUSD'!$L$44*'TR TUSD'!$L$60</f>
        <v>29.141905998417748</v>
      </c>
      <c r="M44" s="13">
        <f>'TR TUSD'!$M$44*'TR TUSD'!$M$60</f>
        <v>1.5373170375050098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90.494932846014521</v>
      </c>
      <c r="R44" s="13">
        <f>'TR TUSD'!$R$44*'TR TUSD'!$R$60</f>
        <v>14.291741353971831</v>
      </c>
      <c r="S44" s="13">
        <f>'TR TUSD'!$S$44*'TR TUSD'!$S$60</f>
        <v>0</v>
      </c>
      <c r="T44" s="13">
        <f ca="1">SUM($L$44:$S$44)</f>
        <v>135.46589723590913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118.50232787741631</v>
      </c>
      <c r="Z44" s="13">
        <f>'TR TUSD'!$Z$44</f>
        <v>0</v>
      </c>
      <c r="AA44" s="13">
        <f>'TR TUSD'!$AA$44</f>
        <v>0</v>
      </c>
      <c r="AB44" s="13">
        <f>SUM($U$44:$AA$44)</f>
        <v>118.50232787741631</v>
      </c>
      <c r="AC44" s="13">
        <f>'TR TUSD'!$AC$44*'TR TUSD'!$AC$60</f>
        <v>339.0981745177354</v>
      </c>
      <c r="AD44" s="13">
        <f>SUM($AC$44:$AC$44)</f>
        <v>339.0981745177354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31.536809832100897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31.536809832100897</v>
      </c>
      <c r="AM44" s="13">
        <f ca="1">SUMIF($L$4:$AL$4,"SUBTOTAL",$L$44:$AL$44)</f>
        <v>624.60320946316176</v>
      </c>
      <c r="AP44" s="13">
        <f>IF((1 - CUSTOS!$M$30)&lt;&gt;0,1/(1 - CUSTOS!$M$30),1)</f>
        <v>1</v>
      </c>
    </row>
    <row r="45" spans="1:42" ht="11.25" customHeight="1" x14ac:dyDescent="0.3">
      <c r="A45" s="96" t="s">
        <v>36</v>
      </c>
      <c r="B45" s="96" t="s">
        <v>33</v>
      </c>
      <c r="C45" s="96" t="s">
        <v>25</v>
      </c>
      <c r="D45" s="96" t="s">
        <v>25</v>
      </c>
      <c r="E45" s="96" t="s">
        <v>25</v>
      </c>
      <c r="F45" s="96" t="s">
        <v>25</v>
      </c>
      <c r="G45" s="18" t="s">
        <v>69</v>
      </c>
      <c r="H45" s="18" t="s">
        <v>68</v>
      </c>
      <c r="I45" s="18">
        <f>'MERCADO TUSD'!$U$42</f>
        <v>0</v>
      </c>
      <c r="J45" s="15"/>
      <c r="L45" s="13">
        <f>'TR TUSD'!$L$45*'TR TUSD'!$L$60</f>
        <v>29.141905998417748</v>
      </c>
      <c r="M45" s="13">
        <f>'TR TUSD'!$M$45*'TR TUSD'!$M$60</f>
        <v>1.5373170375050098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90.494932846014521</v>
      </c>
      <c r="R45" s="13">
        <f>'TR TUSD'!$R$45*'TR TUSD'!$R$60</f>
        <v>14.291741353971831</v>
      </c>
      <c r="S45" s="13">
        <f>'TR TUSD'!$S$45*'TR TUSD'!$S$60</f>
        <v>0</v>
      </c>
      <c r="T45" s="13">
        <f ca="1">SUM($L$45:$S$45)</f>
        <v>135.46589723590913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379.21773981838368</v>
      </c>
      <c r="Z45" s="13">
        <f>'TR TUSD'!$Z$45</f>
        <v>0</v>
      </c>
      <c r="AA45" s="13">
        <f>'TR TUSD'!$AA$45</f>
        <v>0</v>
      </c>
      <c r="AB45" s="13">
        <f>SUM($U$45:$AA$45)</f>
        <v>379.21773981838368</v>
      </c>
      <c r="AC45" s="13">
        <f>'TR TUSD'!$AC$45*'TR TUSD'!$AC$60</f>
        <v>1085.1142483526673</v>
      </c>
      <c r="AD45" s="13">
        <f>SUM($AC$45:$AC$45)</f>
        <v>1085.1142483526673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31.536809832100897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31.536809832100897</v>
      </c>
      <c r="AM45" s="13">
        <f ca="1">SUMIF($L$4:$AL$4,"SUBTOTAL",$L$45:$AL$45)</f>
        <v>1631.3346952390611</v>
      </c>
      <c r="AP45" s="13">
        <f>IF((1 - CUSTOS!$M$31)&lt;&gt;0,1/(1 - CUSTOS!$M$31),1)</f>
        <v>1</v>
      </c>
    </row>
    <row r="46" spans="1:42" ht="11.25" customHeight="1" x14ac:dyDescent="0.3">
      <c r="A46" s="96"/>
      <c r="B46" s="96"/>
      <c r="C46" s="96"/>
      <c r="D46" s="96"/>
      <c r="E46" s="96"/>
      <c r="F46" s="96"/>
      <c r="G46" s="18" t="s">
        <v>82</v>
      </c>
      <c r="H46" s="18" t="s">
        <v>68</v>
      </c>
      <c r="I46" s="18">
        <f>'MERCADO TUSD'!$U$43</f>
        <v>0</v>
      </c>
      <c r="J46" s="15"/>
      <c r="L46" s="13">
        <f>'TR TUSD'!$L$46*'TR TUSD'!$L$60</f>
        <v>29.141905998417748</v>
      </c>
      <c r="M46" s="13">
        <f>'TR TUSD'!$M$46*'TR TUSD'!$M$60</f>
        <v>1.5373170375050098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90.494932846014521</v>
      </c>
      <c r="R46" s="13">
        <f>'TR TUSD'!$R$46*'TR TUSD'!$R$60</f>
        <v>14.291741353971831</v>
      </c>
      <c r="S46" s="13">
        <f>'TR TUSD'!$S$46*'TR TUSD'!$S$60</f>
        <v>0</v>
      </c>
      <c r="T46" s="13">
        <f ca="1">SUM($L$46:$S$46)</f>
        <v>135.46589723590913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227.53450287002451</v>
      </c>
      <c r="Z46" s="13">
        <f>'TR TUSD'!$Z$46</f>
        <v>0</v>
      </c>
      <c r="AA46" s="13">
        <f>'TR TUSD'!$AA$46</f>
        <v>0</v>
      </c>
      <c r="AB46" s="13">
        <f>SUM($U$46:$AA$46)</f>
        <v>227.53450287002451</v>
      </c>
      <c r="AC46" s="13">
        <f>'TR TUSD'!$AC$46*'TR TUSD'!$AC$60</f>
        <v>651.06836921977265</v>
      </c>
      <c r="AD46" s="13">
        <f>SUM($AC$46:$AC$46)</f>
        <v>651.06836921977265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31.536809832100897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31.536809832100897</v>
      </c>
      <c r="AM46" s="13">
        <f ca="1">SUMIF($L$4:$AL$4,"SUBTOTAL",$L$46:$AL$46)</f>
        <v>1045.6055791578071</v>
      </c>
      <c r="AP46" s="13">
        <f>IF((1 - CUSTOS!$M$31)&lt;&gt;0,1/(1 - CUSTOS!$M$31),1)</f>
        <v>1</v>
      </c>
    </row>
    <row r="47" spans="1:42" ht="11.25" customHeight="1" x14ac:dyDescent="0.3">
      <c r="A47" s="96"/>
      <c r="B47" s="96"/>
      <c r="C47" s="96"/>
      <c r="D47" s="96"/>
      <c r="E47" s="96"/>
      <c r="F47" s="96"/>
      <c r="G47" s="18" t="s">
        <v>70</v>
      </c>
      <c r="H47" s="18" t="s">
        <v>68</v>
      </c>
      <c r="I47" s="18">
        <f>'MERCADO TUSD'!$U$44</f>
        <v>0</v>
      </c>
      <c r="J47" s="15"/>
      <c r="L47" s="13">
        <f>'TR TUSD'!$L$47*'TR TUSD'!$L$60</f>
        <v>29.141905998417748</v>
      </c>
      <c r="M47" s="13">
        <f>'TR TUSD'!$M$47*'TR TUSD'!$M$60</f>
        <v>1.5373170375050098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90.494932846014521</v>
      </c>
      <c r="R47" s="13">
        <f>'TR TUSD'!$R$47*'TR TUSD'!$R$60</f>
        <v>14.291741353971831</v>
      </c>
      <c r="S47" s="13">
        <f>'TR TUSD'!$S$47*'TR TUSD'!$S$60</f>
        <v>0</v>
      </c>
      <c r="T47" s="13">
        <f ca="1">SUM($L$47:$S$47)</f>
        <v>135.46589723590913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75.844834290008166</v>
      </c>
      <c r="Z47" s="13">
        <f>'TR TUSD'!$Z$47</f>
        <v>0</v>
      </c>
      <c r="AA47" s="13">
        <f>'TR TUSD'!$AA$47</f>
        <v>0</v>
      </c>
      <c r="AB47" s="13">
        <f>SUM($U$47:$AA$47)</f>
        <v>75.844834290008166</v>
      </c>
      <c r="AC47" s="13">
        <f>'TR TUSD'!$AC$47*'TR TUSD'!$AC$60</f>
        <v>217.02284967053342</v>
      </c>
      <c r="AD47" s="13">
        <f>SUM($AC$47:$AC$47)</f>
        <v>217.02284967053342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31.536809832100897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31.536809832100897</v>
      </c>
      <c r="AM47" s="13">
        <f ca="1">SUMIF($L$4:$AL$4,"SUBTOTAL",$L$47:$AL$47)</f>
        <v>459.87039102855164</v>
      </c>
      <c r="AP47" s="13">
        <f>IF((1 - CUSTOS!$M$31)&lt;&gt;0,1/(1 - CUSTOS!$M$31),1)</f>
        <v>1</v>
      </c>
    </row>
    <row r="48" spans="1:42" ht="11.25" customHeight="1" x14ac:dyDescent="0.3">
      <c r="A48" s="96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643.45600000000002</v>
      </c>
      <c r="J48" s="15"/>
      <c r="L48" s="13">
        <f>'TR TUSD'!$L$48*'TR TUSD'!$L$60</f>
        <v>29.141905998417748</v>
      </c>
      <c r="M48" s="13">
        <f>'TR TUSD'!$M$48*'TR TUSD'!$M$60</f>
        <v>1.5373170375050098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90.494932846014521</v>
      </c>
      <c r="R48" s="13">
        <f>'TR TUSD'!$R$48*'TR TUSD'!$R$60</f>
        <v>14.291741353971831</v>
      </c>
      <c r="S48" s="13">
        <f>'TR TUSD'!$S$48*'TR TUSD'!$S$60</f>
        <v>0</v>
      </c>
      <c r="T48" s="13">
        <f ca="1">SUM($L$48:$S$48)</f>
        <v>135.46589723590913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118.50232787741631</v>
      </c>
      <c r="Z48" s="13">
        <f>'TR TUSD'!$Z$48</f>
        <v>0</v>
      </c>
      <c r="AA48" s="13">
        <f>'TR TUSD'!$AA$48</f>
        <v>0</v>
      </c>
      <c r="AB48" s="13">
        <f>SUM($U$48:$AA$48)</f>
        <v>118.50232787741631</v>
      </c>
      <c r="AC48" s="13">
        <f>'TR TUSD'!$AC$48*'TR TUSD'!$AC$60</f>
        <v>339.0981745177354</v>
      </c>
      <c r="AD48" s="13">
        <f>SUM($AC$48:$AC$48)</f>
        <v>339.0981745177354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31.536809832100897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31.536809832100897</v>
      </c>
      <c r="AM48" s="13">
        <f ca="1">SUMIF($L$4:$AL$4,"SUBTOTAL",$L$48:$AL$48)</f>
        <v>624.60320946316176</v>
      </c>
      <c r="AP48" s="13">
        <f>IF((1 - CUSTOS!$M$31)&lt;&gt;0,1/(1 - CUSTOS!$M$31),1)</f>
        <v>1</v>
      </c>
    </row>
    <row r="49" spans="1:42" ht="11.25" customHeight="1" x14ac:dyDescent="0.3">
      <c r="A49" s="96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'TR TUSD'!$L$49*'TR TUSD'!$L$60</f>
        <v>29.141905998417748</v>
      </c>
      <c r="M49" s="13">
        <f>'TR TUSD'!$M$49*'TR TUSD'!$M$60</f>
        <v>1.5373170375050098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90.494932846014521</v>
      </c>
      <c r="R49" s="13">
        <f>'TR TUSD'!$R$49*'TR TUSD'!$R$60</f>
        <v>14.291741353971831</v>
      </c>
      <c r="S49" s="13">
        <f>'TR TUSD'!$S$49*'TR TUSD'!$S$60</f>
        <v>0</v>
      </c>
      <c r="T49" s="13">
        <f ca="1">SUM($L$49:$S$49)</f>
        <v>135.46589723590913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118.50232787741631</v>
      </c>
      <c r="Z49" s="13">
        <f>'TR TUSD'!$Z$49</f>
        <v>0</v>
      </c>
      <c r="AA49" s="13">
        <f>'TR TUSD'!$AA$49</f>
        <v>0</v>
      </c>
      <c r="AB49" s="13">
        <f>SUM($U$49:$AA$49)</f>
        <v>118.50232787741631</v>
      </c>
      <c r="AC49" s="13">
        <f>'TR TUSD'!$AC$49*'TR TUSD'!$AC$60</f>
        <v>339.0981745177354</v>
      </c>
      <c r="AD49" s="13">
        <f>SUM($AC$49:$AC$49)</f>
        <v>339.0981745177354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31.536809832100897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31.536809832100897</v>
      </c>
      <c r="AM49" s="13">
        <f ca="1">SUMIF($L$4:$AL$4,"SUBTOTAL",$L$49:$AL$49)</f>
        <v>624.60320946316176</v>
      </c>
      <c r="AP49" s="13">
        <f>IF((1 - CUSTOS!$M$31)&lt;&gt;0,1/(1 - CUSTOS!$M$31),1)</f>
        <v>1</v>
      </c>
    </row>
    <row r="50" spans="1:42" ht="11.25" customHeight="1" x14ac:dyDescent="0.3">
      <c r="A50" s="96" t="s">
        <v>44</v>
      </c>
      <c r="B50" s="96" t="s">
        <v>23</v>
      </c>
      <c r="C50" s="96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546.72599999999989</v>
      </c>
      <c r="J50" s="15"/>
      <c r="L50" s="13">
        <f>'TR TUSD'!$L$50*'TR TUSD'!$L$60</f>
        <v>16.028048299129761</v>
      </c>
      <c r="M50" s="13">
        <f>'TR TUSD'!$M$50*'TR TUSD'!$M$60</f>
        <v>0.84552437062775554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49.772213065307987</v>
      </c>
      <c r="R50" s="13">
        <f>'TR TUSD'!$R$50*'TR TUSD'!$R$60</f>
        <v>7.8604577446845081</v>
      </c>
      <c r="S50" s="13">
        <f>'TR TUSD'!$S$50*'TR TUSD'!$S$60</f>
        <v>0</v>
      </c>
      <c r="T50" s="13">
        <f ca="1">SUM($L$50:$S$50)</f>
        <v>74.506243479750012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65.176280332578969</v>
      </c>
      <c r="Z50" s="13">
        <f>'TR TUSD'!$Z$50</f>
        <v>0</v>
      </c>
      <c r="AA50" s="13">
        <f>'TR TUSD'!$AA$50</f>
        <v>0</v>
      </c>
      <c r="AB50" s="13">
        <f>SUM($U$50:$AA$50)</f>
        <v>65.176280332578969</v>
      </c>
      <c r="AC50" s="13">
        <f>'TR TUSD'!$AC$50*'TR TUSD'!$AC$60</f>
        <v>186.50399598475448</v>
      </c>
      <c r="AD50" s="13">
        <f>SUM($AC$50:$AC$50)</f>
        <v>186.50399598475448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17.345245407655497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17.345245407655497</v>
      </c>
      <c r="AM50" s="13">
        <f ca="1">SUMIF($L$4:$AL$4,"SUBTOTAL",$L$50:$AL$50)</f>
        <v>343.53176520473897</v>
      </c>
      <c r="AP50" s="13">
        <f>IF((1 - CUSTOS!$M$32)&lt;&gt;0,1/(1 - CUSTOS!$M$32),1)</f>
        <v>1.8181818181818181</v>
      </c>
    </row>
    <row r="51" spans="1:42" ht="11.25" customHeight="1" x14ac:dyDescent="0.3">
      <c r="A51" s="96"/>
      <c r="B51" s="96"/>
      <c r="C51" s="96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'TR TUSD'!$L$51*'TR TUSD'!$L$60</f>
        <v>17.485143599050648</v>
      </c>
      <c r="M51" s="13">
        <f>'TR TUSD'!$M$51*'TR TUSD'!$M$60</f>
        <v>0.92239022250300584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54.296959707608714</v>
      </c>
      <c r="R51" s="13">
        <f>'TR TUSD'!$R$51*'TR TUSD'!$R$60</f>
        <v>8.5750448123830978</v>
      </c>
      <c r="S51" s="13">
        <f>'TR TUSD'!$S$51*'TR TUSD'!$S$60</f>
        <v>0</v>
      </c>
      <c r="T51" s="13">
        <f ca="1">SUM($L$51:$S$51)</f>
        <v>81.279538341545461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71.101396726449778</v>
      </c>
      <c r="Z51" s="13">
        <f>'TR TUSD'!$Z$51</f>
        <v>0</v>
      </c>
      <c r="AA51" s="13">
        <f>'TR TUSD'!$AA$51</f>
        <v>0</v>
      </c>
      <c r="AB51" s="13">
        <f>SUM($U$51:$AA$51)</f>
        <v>71.101396726449778</v>
      </c>
      <c r="AC51" s="13">
        <f>'TR TUSD'!$AC$51*'TR TUSD'!$AC$60</f>
        <v>203.45890471064124</v>
      </c>
      <c r="AD51" s="13">
        <f>SUM($AC$51:$AC$51)</f>
        <v>203.45890471064124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18.922085899260537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18.922085899260537</v>
      </c>
      <c r="AM51" s="13">
        <f ca="1">SUMIF($L$4:$AL$4,"SUBTOTAL",$L$51:$AL$51)</f>
        <v>374.76192567789701</v>
      </c>
      <c r="AP51" s="13">
        <f>IF((1 - CUSTOS!$M$33)&lt;&gt;0,1/(1 - CUSTOS!$M$33),1)</f>
        <v>1.6666666666666667</v>
      </c>
    </row>
    <row r="53" spans="1:42" ht="11.25" customHeight="1" x14ac:dyDescent="0.3">
      <c r="K53" s="16" t="s">
        <v>505</v>
      </c>
      <c r="L53" s="13">
        <f>SUMPRODUCT($I$5:$I51,$L$5:$L51)</f>
        <v>561638.56127034652</v>
      </c>
      <c r="M53" s="13">
        <f>SUMPRODUCT($I$5:$I51,$M$5:$M51)</f>
        <v>32726.000289716503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1744067.2510800005</v>
      </c>
      <c r="R53" s="13">
        <f>SUMPRODUCT($I$5:$I51,$R$5:$R51)</f>
        <v>307176.84594000003</v>
      </c>
      <c r="S53" s="13">
        <f>SUMPRODUCT($I$5:$I51,$S$5:$S51)</f>
        <v>0</v>
      </c>
      <c r="T53" s="13">
        <f ca="1">SUMPRODUCT($I$5:$I51,$T$5:$T51)</f>
        <v>2645608.6585800638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2472691.1461900007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2472691.1461900007</v>
      </c>
      <c r="AC53" s="13">
        <f>SUMPRODUCT($I$5:$I51,$AC$5:$AC51)</f>
        <v>7218569.4400000004</v>
      </c>
      <c r="AD53" s="13">
        <f>SUMPRODUCT($I$5:$I51,$AD$5:$AD51)</f>
        <v>7218569.4400000004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402350.50226934702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402350.50226934702</v>
      </c>
      <c r="AM53" s="13">
        <f ca="1">SUMPRODUCT($I$5:$I51,$AM$5:$AM51)</f>
        <v>12739219.747039415</v>
      </c>
    </row>
    <row r="54" spans="1:42" ht="11.25" customHeight="1" x14ac:dyDescent="0.3">
      <c r="K54" s="16" t="s">
        <v>437</v>
      </c>
      <c r="L54" s="13">
        <f>'TR TUSD'!$L$56</f>
        <v>561638.5612703464</v>
      </c>
      <c r="M54" s="13">
        <f>'TR TUSD'!$M$56</f>
        <v>32726.000289716503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1744067.2510800003</v>
      </c>
      <c r="R54" s="13">
        <f>'TR TUSD'!$R$56</f>
        <v>307176.84594000003</v>
      </c>
      <c r="S54" s="13">
        <f>'TR TUSD'!$S$56</f>
        <v>0</v>
      </c>
      <c r="T54" s="13">
        <f>'TR TUSD'!$T$56</f>
        <v>2645608.6585800634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2472691.1461900002</v>
      </c>
      <c r="Z54" s="13">
        <f>'TR TUSD'!$Z$56</f>
        <v>0</v>
      </c>
      <c r="AA54" s="13">
        <f>'TR TUSD'!$AA$56</f>
        <v>0</v>
      </c>
      <c r="AB54" s="13">
        <f>'TR TUSD'!$AB$56</f>
        <v>2472691.1461900002</v>
      </c>
      <c r="AC54" s="13">
        <f>'TR TUSD'!$AC$56</f>
        <v>7218569.4400000004</v>
      </c>
      <c r="AD54" s="13">
        <f>'TR TUSD'!$AD$56</f>
        <v>7218569.4400000004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402350.50226934697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402350.50226934697</v>
      </c>
      <c r="AM54" s="13">
        <f>CUSTOS!$D$29</f>
        <v>12739219.747039411</v>
      </c>
    </row>
    <row r="55" spans="1:42" ht="11.25" customHeight="1" x14ac:dyDescent="0.3">
      <c r="K55" s="16" t="s">
        <v>438</v>
      </c>
      <c r="L55" s="13">
        <f>CUSTOS!$E$2</f>
        <v>-3474.370163392417</v>
      </c>
      <c r="M55" s="13">
        <f>CUSTOS!$E$3</f>
        <v>-230.23633007930752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-7368.2249409820133</v>
      </c>
      <c r="R55" s="13">
        <f>CUSTOS!$E$8</f>
        <v>-1404.9905913531622</v>
      </c>
      <c r="S55" s="13">
        <f>CUSTOS!$E$9</f>
        <v>0</v>
      </c>
      <c r="T55" s="13">
        <f>CUSTOS!$E$10</f>
        <v>-12477.8220258069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85009.576954378659</v>
      </c>
      <c r="Z55" s="13">
        <f>CUSTOS!$E$16</f>
        <v>0</v>
      </c>
      <c r="AA55" s="13">
        <f>CUSTOS!$E$17</f>
        <v>0</v>
      </c>
      <c r="AB55" s="13">
        <f>CUSTOS!$E$18</f>
        <v>85009.576954378659</v>
      </c>
      <c r="AC55" s="13">
        <f>CUSTOS!$E$19</f>
        <v>-3024752.7960253092</v>
      </c>
      <c r="AD55" s="13">
        <f>CUSTOS!$E$20</f>
        <v>-3024752.7960253092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-8369.2053270178876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-8369.2053270178876</v>
      </c>
      <c r="AM55" s="13">
        <f>CUSTOS!$E$29</f>
        <v>-2960590.2464237553</v>
      </c>
    </row>
    <row r="56" spans="1:42" ht="11.25" customHeight="1" x14ac:dyDescent="0.3">
      <c r="K56" s="16" t="s">
        <v>439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502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3">
      <c r="K58" s="16" t="s">
        <v>506</v>
      </c>
      <c r="L58" s="13">
        <f t="shared" ref="L58:R58" si="0">IF((L53-(0))&lt;&gt;0,(L55)/(L53-(0)),0)</f>
        <v>-6.1861317989524902E-3</v>
      </c>
      <c r="M58" s="13">
        <f t="shared" si="0"/>
        <v>-7.0352725062969189E-3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-4.224736710364406E-3</v>
      </c>
      <c r="R58" s="13">
        <f t="shared" si="0"/>
        <v>-4.5738818205965795E-3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3.4379375315580378E-2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-0.41902385523430097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-2.0800782600776422E-2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16" priority="55" operator="notEqual">
      <formula>$L$54-$L$57</formula>
    </cfRule>
    <cfRule type="cellIs" dxfId="815" priority="56" operator="equal">
      <formula>$L$54-$L$57</formula>
    </cfRule>
  </conditionalFormatting>
  <conditionalFormatting sqref="M53">
    <cfRule type="cellIs" dxfId="814" priority="53" operator="notEqual">
      <formula>$M$54-$M$57</formula>
    </cfRule>
    <cfRule type="cellIs" dxfId="813" priority="54" operator="equal">
      <formula>$M$54-$M$57</formula>
    </cfRule>
  </conditionalFormatting>
  <conditionalFormatting sqref="N53">
    <cfRule type="cellIs" dxfId="812" priority="51" operator="notEqual">
      <formula>$N$54-$N$57</formula>
    </cfRule>
    <cfRule type="cellIs" dxfId="811" priority="52" operator="equal">
      <formula>$N$54-$N$57</formula>
    </cfRule>
  </conditionalFormatting>
  <conditionalFormatting sqref="O53">
    <cfRule type="cellIs" dxfId="810" priority="49" operator="notEqual">
      <formula>$O$54-$O$57</formula>
    </cfRule>
    <cfRule type="cellIs" dxfId="809" priority="50" operator="equal">
      <formula>$O$54-$O$57</formula>
    </cfRule>
  </conditionalFormatting>
  <conditionalFormatting sqref="P53">
    <cfRule type="cellIs" dxfId="808" priority="47" operator="notEqual">
      <formula>$P$54-$P$57</formula>
    </cfRule>
    <cfRule type="cellIs" dxfId="807" priority="48" operator="equal">
      <formula>$P$54-$P$57</formula>
    </cfRule>
  </conditionalFormatting>
  <conditionalFormatting sqref="Q53">
    <cfRule type="cellIs" dxfId="806" priority="45" operator="notEqual">
      <formula>$Q$54-$Q$57</formula>
    </cfRule>
    <cfRule type="cellIs" dxfId="805" priority="46" operator="equal">
      <formula>$Q$54-$Q$57</formula>
    </cfRule>
  </conditionalFormatting>
  <conditionalFormatting sqref="R53">
    <cfRule type="cellIs" dxfId="804" priority="43" operator="notEqual">
      <formula>$R$54-$R$57</formula>
    </cfRule>
    <cfRule type="cellIs" dxfId="803" priority="44" operator="equal">
      <formula>$R$54-$R$57</formula>
    </cfRule>
  </conditionalFormatting>
  <conditionalFormatting sqref="S53">
    <cfRule type="cellIs" dxfId="802" priority="41" operator="notEqual">
      <formula>$S$54-$S$57</formula>
    </cfRule>
    <cfRule type="cellIs" dxfId="801" priority="42" operator="equal">
      <formula>$S$54-$S$57</formula>
    </cfRule>
  </conditionalFormatting>
  <conditionalFormatting sqref="T53">
    <cfRule type="cellIs" dxfId="800" priority="39" operator="notEqual">
      <formula>$T$54-$T$57</formula>
    </cfRule>
    <cfRule type="cellIs" dxfId="799" priority="40" operator="equal">
      <formula>$T$54-$T$57</formula>
    </cfRule>
  </conditionalFormatting>
  <conditionalFormatting sqref="U53">
    <cfRule type="cellIs" dxfId="798" priority="37" operator="notEqual">
      <formula>$U$54-$U$57</formula>
    </cfRule>
    <cfRule type="cellIs" dxfId="797" priority="38" operator="equal">
      <formula>$U$54-$U$57</formula>
    </cfRule>
  </conditionalFormatting>
  <conditionalFormatting sqref="V53">
    <cfRule type="cellIs" dxfId="796" priority="35" operator="notEqual">
      <formula>$V$54-$V$57</formula>
    </cfRule>
    <cfRule type="cellIs" dxfId="795" priority="36" operator="equal">
      <formula>$V$54-$V$57</formula>
    </cfRule>
  </conditionalFormatting>
  <conditionalFormatting sqref="W53">
    <cfRule type="cellIs" dxfId="794" priority="33" operator="notEqual">
      <formula>$W$54-$W$57</formula>
    </cfRule>
    <cfRule type="cellIs" dxfId="793" priority="34" operator="equal">
      <formula>$W$54-$W$57</formula>
    </cfRule>
  </conditionalFormatting>
  <conditionalFormatting sqref="X53">
    <cfRule type="cellIs" dxfId="792" priority="31" operator="notEqual">
      <formula>$X$54-$X$57</formula>
    </cfRule>
    <cfRule type="cellIs" dxfId="791" priority="32" operator="equal">
      <formula>$X$54-$X$57</formula>
    </cfRule>
  </conditionalFormatting>
  <conditionalFormatting sqref="Y53">
    <cfRule type="cellIs" dxfId="790" priority="29" operator="notEqual">
      <formula>$Y$54-$Y$57</formula>
    </cfRule>
    <cfRule type="cellIs" dxfId="789" priority="30" operator="equal">
      <formula>$Y$54-$Y$57</formula>
    </cfRule>
  </conditionalFormatting>
  <conditionalFormatting sqref="Z53">
    <cfRule type="cellIs" dxfId="788" priority="27" operator="notEqual">
      <formula>$Z$54-$Z$57</formula>
    </cfRule>
    <cfRule type="cellIs" dxfId="787" priority="28" operator="equal">
      <formula>$Z$54-$Z$57</formula>
    </cfRule>
  </conditionalFormatting>
  <conditionalFormatting sqref="AA53">
    <cfRule type="cellIs" dxfId="786" priority="25" operator="notEqual">
      <formula>$AA$54-$AA$57</formula>
    </cfRule>
    <cfRule type="cellIs" dxfId="785" priority="26" operator="equal">
      <formula>$AA$54-$AA$57</formula>
    </cfRule>
  </conditionalFormatting>
  <conditionalFormatting sqref="AB53">
    <cfRule type="cellIs" dxfId="784" priority="23" operator="notEqual">
      <formula>$AB$54-$AB$57</formula>
    </cfRule>
    <cfRule type="cellIs" dxfId="783" priority="24" operator="equal">
      <formula>$AB$54-$AB$57</formula>
    </cfRule>
  </conditionalFormatting>
  <conditionalFormatting sqref="AC53">
    <cfRule type="cellIs" dxfId="782" priority="21" operator="notEqual">
      <formula>$AC$54-$AC$57</formula>
    </cfRule>
    <cfRule type="cellIs" dxfId="781" priority="22" operator="equal">
      <formula>$AC$54-$AC$57</formula>
    </cfRule>
  </conditionalFormatting>
  <conditionalFormatting sqref="AD53">
    <cfRule type="cellIs" dxfId="780" priority="19" operator="notEqual">
      <formula>$AD$54-$AD$57</formula>
    </cfRule>
    <cfRule type="cellIs" dxfId="779" priority="20" operator="equal">
      <formula>$AD$54-$AD$57</formula>
    </cfRule>
  </conditionalFormatting>
  <conditionalFormatting sqref="AE53">
    <cfRule type="cellIs" dxfId="778" priority="17" operator="notEqual">
      <formula>$AE$54-$AE$57</formula>
    </cfRule>
    <cfRule type="cellIs" dxfId="777" priority="18" operator="equal">
      <formula>$AE$54-$AE$57</formula>
    </cfRule>
  </conditionalFormatting>
  <conditionalFormatting sqref="AF53">
    <cfRule type="cellIs" dxfId="776" priority="16" operator="equal">
      <formula>$AF$54-$AF$57</formula>
    </cfRule>
  </conditionalFormatting>
  <conditionalFormatting sqref="AF53">
    <cfRule type="cellIs" dxfId="775" priority="15" operator="notEqual">
      <formula>$AF$54-$AF$57</formula>
    </cfRule>
  </conditionalFormatting>
  <conditionalFormatting sqref="AG53">
    <cfRule type="cellIs" dxfId="774" priority="14" operator="equal">
      <formula>$AG$54-$AG$57</formula>
    </cfRule>
  </conditionalFormatting>
  <conditionalFormatting sqref="AG53">
    <cfRule type="cellIs" dxfId="773" priority="13" operator="notEqual">
      <formula>$AG$54-$AG$57</formula>
    </cfRule>
  </conditionalFormatting>
  <conditionalFormatting sqref="AH53">
    <cfRule type="cellIs" dxfId="772" priority="12" operator="equal">
      <formula>$AH$54-$AH$57</formula>
    </cfRule>
  </conditionalFormatting>
  <conditionalFormatting sqref="AH53">
    <cfRule type="cellIs" dxfId="771" priority="11" operator="notEqual">
      <formula>$AH$54-$AH$57</formula>
    </cfRule>
  </conditionalFormatting>
  <conditionalFormatting sqref="AI53">
    <cfRule type="cellIs" dxfId="770" priority="10" operator="equal">
      <formula>$AI$54-$AI$57</formula>
    </cfRule>
  </conditionalFormatting>
  <conditionalFormatting sqref="AI53">
    <cfRule type="cellIs" dxfId="769" priority="9" operator="notEqual">
      <formula>$AI$54-$AI$57</formula>
    </cfRule>
  </conditionalFormatting>
  <conditionalFormatting sqref="AJ53">
    <cfRule type="cellIs" dxfId="768" priority="8" operator="equal">
      <formula>$AJ$54-$AJ$57</formula>
    </cfRule>
  </conditionalFormatting>
  <conditionalFormatting sqref="AJ53">
    <cfRule type="cellIs" dxfId="767" priority="7" operator="notEqual">
      <formula>$AJ$54-$AJ$57</formula>
    </cfRule>
  </conditionalFormatting>
  <conditionalFormatting sqref="AK53">
    <cfRule type="cellIs" dxfId="766" priority="6" operator="equal">
      <formula>$AK$54-$AK$57</formula>
    </cfRule>
  </conditionalFormatting>
  <conditionalFormatting sqref="AK53">
    <cfRule type="cellIs" dxfId="765" priority="5" operator="notEqual">
      <formula>$AK$54-$AK$57</formula>
    </cfRule>
  </conditionalFormatting>
  <conditionalFormatting sqref="AL53">
    <cfRule type="cellIs" dxfId="764" priority="4" operator="equal">
      <formula>$AL$54-$AL$57</formula>
    </cfRule>
  </conditionalFormatting>
  <conditionalFormatting sqref="AL53">
    <cfRule type="cellIs" dxfId="763" priority="3" operator="notEqual">
      <formula>$AL$54-$AL$57</formula>
    </cfRule>
  </conditionalFormatting>
  <conditionalFormatting sqref="AM53">
    <cfRule type="cellIs" dxfId="762" priority="2" operator="equal">
      <formula>$AM$54-$AM$57</formula>
    </cfRule>
  </conditionalFormatting>
  <conditionalFormatting sqref="AM53">
    <cfRule type="cellIs" dxfId="761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9E12-F235-41BA-A194-C1BF047F7162}">
  <dimension ref="A1:AP58"/>
  <sheetViews>
    <sheetView showGridLines="0" topLeftCell="Y35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7.6640625" style="9" bestFit="1" customWidth="1"/>
    <col min="10" max="10" width="8.88671875" style="9"/>
    <col min="11" max="11" width="14.109375" style="9" bestFit="1" customWidth="1"/>
    <col min="12" max="12" width="13" style="9" bestFit="1" customWidth="1"/>
    <col min="13" max="13" width="7.6640625" style="9" bestFit="1" customWidth="1"/>
    <col min="14" max="15" width="4" style="9" bestFit="1" customWidth="1"/>
    <col min="16" max="16" width="4.33203125" style="9" bestFit="1" customWidth="1"/>
    <col min="17" max="17" width="9.6640625" style="9" bestFit="1" customWidth="1"/>
    <col min="18" max="19" width="8.44140625" style="9" bestFit="1" customWidth="1"/>
    <col min="20" max="20" width="9.6640625" style="9" bestFit="1" customWidth="1"/>
    <col min="21" max="21" width="7.21875" style="9" bestFit="1" customWidth="1"/>
    <col min="22" max="22" width="7.109375" style="9" bestFit="1" customWidth="1"/>
    <col min="23" max="24" width="9.5546875" style="9" bestFit="1" customWidth="1"/>
    <col min="25" max="25" width="9.6640625" style="9" bestFit="1" customWidth="1"/>
    <col min="26" max="26" width="7.44140625" style="9" bestFit="1" customWidth="1"/>
    <col min="27" max="27" width="9.5546875" style="9" bestFit="1" customWidth="1"/>
    <col min="28" max="28" width="9.6640625" style="9" bestFit="1" customWidth="1"/>
    <col min="29" max="29" width="11.33203125" style="9" bestFit="1" customWidth="1"/>
    <col min="30" max="30" width="10.21875" style="9" bestFit="1" customWidth="1"/>
    <col min="31" max="31" width="7.77734375" style="9" bestFit="1" customWidth="1"/>
    <col min="32" max="32" width="7.109375" style="9" bestFit="1" customWidth="1"/>
    <col min="33" max="33" width="9" style="9" bestFit="1" customWidth="1"/>
    <col min="34" max="34" width="14.88671875" style="9" bestFit="1" customWidth="1"/>
    <col min="35" max="35" width="17.5546875" style="9" bestFit="1" customWidth="1"/>
    <col min="36" max="36" width="18.5546875" style="9" bestFit="1" customWidth="1"/>
    <col min="37" max="37" width="3.88671875" style="9" bestFit="1" customWidth="1"/>
    <col min="38" max="38" width="9" style="9" bestFit="1" customWidth="1"/>
    <col min="39" max="39" width="10.5546875" style="9" bestFit="1" customWidth="1"/>
    <col min="40" max="40" width="8.88671875" style="9"/>
    <col min="41" max="42" width="10.109375" style="9" bestFit="1" customWidth="1"/>
    <col min="43" max="16384" width="8.88671875" style="9"/>
  </cols>
  <sheetData>
    <row r="1" spans="1:42" ht="11.25" customHeight="1" x14ac:dyDescent="0.3">
      <c r="A1" s="97" t="s">
        <v>58</v>
      </c>
      <c r="B1" s="97" t="s">
        <v>59</v>
      </c>
      <c r="C1" s="97" t="s">
        <v>60</v>
      </c>
      <c r="D1" s="97" t="s">
        <v>61</v>
      </c>
      <c r="E1" s="97" t="s">
        <v>62</v>
      </c>
      <c r="F1" s="97" t="s">
        <v>15</v>
      </c>
      <c r="G1" s="97" t="s">
        <v>64</v>
      </c>
      <c r="H1" s="97" t="s">
        <v>65</v>
      </c>
      <c r="I1" s="97" t="s">
        <v>496</v>
      </c>
      <c r="J1" s="94"/>
      <c r="L1" s="98" t="s">
        <v>513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O1" s="20"/>
      <c r="AP1" s="101" t="s">
        <v>498</v>
      </c>
    </row>
    <row r="2" spans="1:42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94"/>
      <c r="L2" s="98" t="s">
        <v>395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O2" s="20"/>
      <c r="AP2" s="102"/>
    </row>
    <row r="3" spans="1:42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94"/>
      <c r="L3" s="98" t="s">
        <v>396</v>
      </c>
      <c r="M3" s="98"/>
      <c r="N3" s="98"/>
      <c r="O3" s="98"/>
      <c r="P3" s="98"/>
      <c r="Q3" s="98"/>
      <c r="R3" s="98"/>
      <c r="S3" s="98"/>
      <c r="T3" s="98"/>
      <c r="U3" s="98" t="s">
        <v>405</v>
      </c>
      <c r="V3" s="98"/>
      <c r="W3" s="98"/>
      <c r="X3" s="98"/>
      <c r="Y3" s="98"/>
      <c r="Z3" s="98"/>
      <c r="AA3" s="98"/>
      <c r="AB3" s="98"/>
      <c r="AC3" s="98" t="s">
        <v>413</v>
      </c>
      <c r="AD3" s="98"/>
      <c r="AE3" s="98" t="s">
        <v>415</v>
      </c>
      <c r="AF3" s="98"/>
      <c r="AG3" s="98"/>
      <c r="AH3" s="98" t="s">
        <v>418</v>
      </c>
      <c r="AI3" s="98"/>
      <c r="AJ3" s="98"/>
      <c r="AK3" s="98"/>
      <c r="AL3" s="98"/>
      <c r="AM3" s="98" t="s">
        <v>404</v>
      </c>
      <c r="AO3" s="20"/>
      <c r="AP3" s="102"/>
    </row>
    <row r="4" spans="1:42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94"/>
      <c r="L4" s="10" t="s">
        <v>481</v>
      </c>
      <c r="M4" s="10" t="s">
        <v>397</v>
      </c>
      <c r="N4" s="10" t="s">
        <v>398</v>
      </c>
      <c r="O4" s="10" t="s">
        <v>399</v>
      </c>
      <c r="P4" s="10" t="s">
        <v>400</v>
      </c>
      <c r="Q4" s="10" t="s">
        <v>401</v>
      </c>
      <c r="R4" s="10" t="s">
        <v>402</v>
      </c>
      <c r="S4" s="10" t="s">
        <v>403</v>
      </c>
      <c r="T4" s="10" t="s">
        <v>404</v>
      </c>
      <c r="U4" s="10" t="s">
        <v>406</v>
      </c>
      <c r="V4" s="10" t="s">
        <v>407</v>
      </c>
      <c r="W4" s="10" t="s">
        <v>408</v>
      </c>
      <c r="X4" s="10" t="s">
        <v>409</v>
      </c>
      <c r="Y4" s="10" t="s">
        <v>410</v>
      </c>
      <c r="Z4" s="10" t="s">
        <v>411</v>
      </c>
      <c r="AA4" s="10" t="s">
        <v>412</v>
      </c>
      <c r="AB4" s="10" t="s">
        <v>404</v>
      </c>
      <c r="AC4" s="10" t="s">
        <v>414</v>
      </c>
      <c r="AD4" s="10" t="s">
        <v>404</v>
      </c>
      <c r="AE4" s="10" t="s">
        <v>416</v>
      </c>
      <c r="AF4" s="10" t="s">
        <v>417</v>
      </c>
      <c r="AG4" s="10" t="s">
        <v>404</v>
      </c>
      <c r="AH4" s="10" t="s">
        <v>419</v>
      </c>
      <c r="AI4" s="10" t="s">
        <v>420</v>
      </c>
      <c r="AJ4" s="10" t="s">
        <v>421</v>
      </c>
      <c r="AK4" s="10" t="s">
        <v>422</v>
      </c>
      <c r="AL4" s="10" t="s">
        <v>404</v>
      </c>
      <c r="AM4" s="100"/>
      <c r="AO4" s="21" t="s">
        <v>515</v>
      </c>
      <c r="AP4" s="103"/>
    </row>
    <row r="5" spans="1:42" ht="11.25" customHeight="1" x14ac:dyDescent="0.3">
      <c r="A5" s="96" t="s">
        <v>38</v>
      </c>
      <c r="B5" s="96" t="s">
        <v>73</v>
      </c>
      <c r="C5" s="96" t="s">
        <v>25</v>
      </c>
      <c r="D5" s="96" t="s">
        <v>25</v>
      </c>
      <c r="E5" s="96" t="s">
        <v>25</v>
      </c>
      <c r="F5" s="96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1.1251440270331605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1.1251440270331605</v>
      </c>
      <c r="AC5" s="13">
        <f>'TUSD BE'!$AC$5*'TUSD BE'!$AC$58</f>
        <v>-47.849847000852456</v>
      </c>
      <c r="AD5" s="13">
        <f>SUM($AC$5:$AC$5)</f>
        <v>-47.849847000852456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-46.724702973819298</v>
      </c>
      <c r="AO5" s="20">
        <f ca="1">+'TUSD BE'!$T$5+'TUSD BE'!$AB$5+'TUSD BE'!$AD$5+'TUSD BE'!$AL$5</f>
        <v>146.92090771708305</v>
      </c>
      <c r="AP5" s="20">
        <f ca="1">+'TUSD BE'!$T$5+'TUSD BE'!$AB$5+'TUSD BE'!$AD$5+'TUSD BE'!$AL$5</f>
        <v>146.92090771708305</v>
      </c>
    </row>
    <row r="6" spans="1:42" ht="11.25" customHeight="1" x14ac:dyDescent="0.3">
      <c r="A6" s="96"/>
      <c r="B6" s="96"/>
      <c r="C6" s="96"/>
      <c r="D6" s="96"/>
      <c r="E6" s="96"/>
      <c r="F6" s="96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0.51264163524696371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0.51264163524696371</v>
      </c>
      <c r="AC6" s="13">
        <f>'TUSD BE'!$AC$6*'TUSD BE'!$AC$58</f>
        <v>-12.106477966663418</v>
      </c>
      <c r="AD6" s="13">
        <f>SUM($AC$6:$AC$6)</f>
        <v>-12.106477966663418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-11.593836331416455</v>
      </c>
      <c r="AO6" s="20">
        <f ca="1">+'TUSD BE'!$T$6+'TUSD BE'!$AB$6+'TUSD BE'!$AD$6+'TUSD BE'!$AL$6</f>
        <v>43.803410495697179</v>
      </c>
      <c r="AP6" s="20">
        <f ca="1">+'TUSD BE'!$T$6+'TUSD BE'!$AB$6+'TUSD BE'!$AD$6+'TUSD BE'!$AL$6</f>
        <v>43.803410495697179</v>
      </c>
    </row>
    <row r="7" spans="1:42" ht="11.25" customHeight="1" x14ac:dyDescent="0.3">
      <c r="A7" s="96"/>
      <c r="B7" s="96"/>
      <c r="C7" s="96"/>
      <c r="D7" s="96"/>
      <c r="E7" s="96"/>
      <c r="F7" s="96"/>
      <c r="G7" s="18" t="s">
        <v>72</v>
      </c>
      <c r="H7" s="18" t="s">
        <v>68</v>
      </c>
      <c r="I7" s="18">
        <f>'MERCADO TUSD'!$U$4</f>
        <v>0</v>
      </c>
      <c r="J7" s="15"/>
      <c r="L7" s="13">
        <f>'TUSD BE'!$L$7*'TUSD BE'!$L$58</f>
        <v>-0.15143156395827292</v>
      </c>
      <c r="M7" s="13">
        <f>'TUSD BE'!$M$7*'TUSD BE'!$M$58</f>
        <v>-1.0449440631056444E-2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-0.32114650251307614</v>
      </c>
      <c r="R7" s="13">
        <f>'TUSD BE'!$R$7*'TUSD BE'!$R$58</f>
        <v>-6.53687359636001E-2</v>
      </c>
      <c r="S7" s="13">
        <f>'TUSD BE'!$R$7*'TUSD BE'!$S$58</f>
        <v>0</v>
      </c>
      <c r="T7" s="13">
        <f ca="1">SUM($L$7:$S$7)</f>
        <v>-0.54839624306600565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-0.23066301419342511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-0.23066301419342511</v>
      </c>
      <c r="AM7" s="13">
        <f ca="1">SUMIF($L$4:$AL$4,"SUBTOTAL",$L$7:$AL$7)</f>
        <v>-0.77905925725943082</v>
      </c>
      <c r="AO7" s="20">
        <f ca="1">+'TUSD BE'!$T$7+'TUSD BE'!$AB$7+'TUSD BE'!$AD$7+'TUSD BE'!$AL$7</f>
        <v>127.36112969025851</v>
      </c>
      <c r="AP7" s="20">
        <f ca="1">+'TUSD BE'!$T$7+'TUSD BE'!$AB$7+'TUSD BE'!$AD$7+'TUSD BE'!$AL$7</f>
        <v>127.36112969025851</v>
      </c>
    </row>
    <row r="8" spans="1:42" ht="11.25" customHeight="1" x14ac:dyDescent="0.3">
      <c r="A8" s="96"/>
      <c r="B8" s="96"/>
      <c r="C8" s="96"/>
      <c r="D8" s="96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-1.0449440631056444E-2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-1.0449440631056444E-2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-0.23066301419342511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-0.23066301419342511</v>
      </c>
      <c r="AM8" s="13">
        <f ca="1">SUMIF($L$4:$AL$4,"SUBTOTAL",$L$8:$AL$8)</f>
        <v>-0.24111245482448154</v>
      </c>
      <c r="AO8" s="20">
        <f ca="1">+'TUSD BE'!$T$8+'TUSD BE'!$AB$8+'TUSD BE'!$AD$8+'TUSD BE'!$AL$8</f>
        <v>12.574443706963578</v>
      </c>
      <c r="AP8" s="20">
        <f ca="1">+'TUSD BE'!$T$8+'TUSD BE'!$AB$8+'TUSD BE'!$AD$8+'TUSD BE'!$AL$8</f>
        <v>12.574443706963578</v>
      </c>
    </row>
    <row r="9" spans="1:42" ht="11.25" customHeight="1" x14ac:dyDescent="0.3">
      <c r="A9" s="96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-2.1847902382804885E-4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-2.1847902382804885E-4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-7.4367853436564308</v>
      </c>
      <c r="AD9" s="13">
        <f>SUM($AC$9:$AC$9)</f>
        <v>-7.4367853436564308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-7.4370038226802588</v>
      </c>
      <c r="AO9" s="20">
        <f ca="1">+'TUSD BE'!$T$9+'TUSD BE'!$AB$9+'TUSD BE'!$AD$9+'TUSD BE'!$AL$9</f>
        <v>17.778935388018233</v>
      </c>
      <c r="AP9" s="20">
        <f ca="1">+'TUSD BE'!$T$9+'TUSD BE'!$AB$9+'TUSD BE'!$AD$9+'TUSD BE'!$AL$9</f>
        <v>17.778935388018233</v>
      </c>
    </row>
    <row r="10" spans="1:42" ht="11.25" customHeight="1" x14ac:dyDescent="0.3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18" t="s">
        <v>9</v>
      </c>
      <c r="H10" s="18" t="s">
        <v>74</v>
      </c>
      <c r="I10" s="18">
        <f>'MERCADO TUSD'!$U$7</f>
        <v>35589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0.51264163524696371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0.51264163524696371</v>
      </c>
      <c r="AC10" s="13">
        <f>'TUSD BE'!$AC$10*'TUSD BE'!$AC$58</f>
        <v>-12.106477966663418</v>
      </c>
      <c r="AD10" s="13">
        <f>SUM($AC$10:$AC$10)</f>
        <v>-12.106477966663418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-11.593836331416455</v>
      </c>
      <c r="AO10" s="20">
        <f ca="1">+'TUSD BE'!$T$10+'TUSD BE'!$AB$10+'TUSD BE'!$AD$10+'TUSD BE'!$AL$10</f>
        <v>43.803410495697179</v>
      </c>
      <c r="AP10" s="20">
        <f ca="1">+'TUSD BE'!$T$10+'TUSD BE'!$AB$10+'TUSD BE'!$AD$10+'TUSD BE'!$AL$10</f>
        <v>43.803410495697179</v>
      </c>
    </row>
    <row r="11" spans="1:42" ht="11.25" customHeight="1" x14ac:dyDescent="0.3">
      <c r="A11" s="96"/>
      <c r="B11" s="96"/>
      <c r="C11" s="96"/>
      <c r="D11" s="96"/>
      <c r="E11" s="96"/>
      <c r="F11" s="96"/>
      <c r="G11" s="18" t="s">
        <v>69</v>
      </c>
      <c r="H11" s="18" t="s">
        <v>68</v>
      </c>
      <c r="I11" s="18">
        <f>'MERCADO TUSD'!$U$8</f>
        <v>1281.3549999999998</v>
      </c>
      <c r="J11" s="15"/>
      <c r="L11" s="13">
        <f>'TUSD BE'!$L$11*'TUSD BE'!$L$58</f>
        <v>-0.15143156395827292</v>
      </c>
      <c r="M11" s="13">
        <f>'TUSD BE'!$M$11*'TUSD BE'!$M$58</f>
        <v>-1.0449440631056444E-2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-0.32114650251307614</v>
      </c>
      <c r="R11" s="13">
        <f>'TUSD BE'!$R$11*'TUSD BE'!$R$58</f>
        <v>-6.53687359636001E-2</v>
      </c>
      <c r="S11" s="13">
        <f>'TUSD BE'!$R$11*'TUSD BE'!$S$58</f>
        <v>0</v>
      </c>
      <c r="T11" s="13">
        <f ca="1">SUM($L$11:$S$11)</f>
        <v>-0.54839624306600565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27.058652078651043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27.058652078651043</v>
      </c>
      <c r="AC11" s="13">
        <f>'TUSD BE'!$AC$11*'TUSD BE'!$AC$58</f>
        <v>-1150.7912179725879</v>
      </c>
      <c r="AD11" s="13">
        <f>SUM($AC$11:$AC$11)</f>
        <v>-1150.7912179725879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-0.23066301419342511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-0.23066301419342511</v>
      </c>
      <c r="AM11" s="13">
        <f ca="1">SUMIF($L$4:$AL$4,"SUBTOTAL",$L$11:$AL$11)</f>
        <v>-1124.5116251511963</v>
      </c>
      <c r="AO11" s="20">
        <f ca="1">+'TUSD BE'!$T$11+'TUSD BE'!$AB$11+'TUSD BE'!$AD$11+'TUSD BE'!$AL$11</f>
        <v>3660.7837981939138</v>
      </c>
      <c r="AP11" s="20">
        <f ca="1">+'TUSD BE'!$T$11+'TUSD BE'!$AB$11+'TUSD BE'!$AD$11+'TUSD BE'!$AL$11</f>
        <v>3660.7837981939138</v>
      </c>
    </row>
    <row r="12" spans="1:42" ht="11.25" customHeight="1" x14ac:dyDescent="0.3">
      <c r="A12" s="96"/>
      <c r="B12" s="96"/>
      <c r="C12" s="96"/>
      <c r="D12" s="96"/>
      <c r="E12" s="96"/>
      <c r="F12" s="96"/>
      <c r="G12" s="18" t="s">
        <v>70</v>
      </c>
      <c r="H12" s="18" t="s">
        <v>68</v>
      </c>
      <c r="I12" s="18">
        <f>'MERCADO TUSD'!$U$9</f>
        <v>12598.463</v>
      </c>
      <c r="J12" s="15"/>
      <c r="L12" s="13">
        <f>'TUSD BE'!$L$12*'TUSD BE'!$L$58</f>
        <v>-0.15143156395827292</v>
      </c>
      <c r="M12" s="13">
        <f>'TUSD BE'!$M$12*'TUSD BE'!$M$58</f>
        <v>-1.0449440631056444E-2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-0.32114650251307614</v>
      </c>
      <c r="R12" s="13">
        <f>'TUSD BE'!$R$12*'TUSD BE'!$R$58</f>
        <v>-6.53687359636001E-2</v>
      </c>
      <c r="S12" s="13">
        <f>'TUSD BE'!$R$12*'TUSD BE'!$S$58</f>
        <v>0</v>
      </c>
      <c r="T12" s="13">
        <f ca="1">SUM($L$12:$S$12)</f>
        <v>-0.54839624306600565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-0.23066301419342511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-0.23066301419342511</v>
      </c>
      <c r="AM12" s="13">
        <f ca="1">SUMIF($L$4:$AL$4,"SUBTOTAL",$L$12:$AL$12)</f>
        <v>-0.77905925725943082</v>
      </c>
      <c r="AO12" s="20">
        <f ca="1">+'TUSD BE'!$T$12+'TUSD BE'!$AB$12+'TUSD BE'!$AD$12+'TUSD BE'!$AL$12</f>
        <v>127.36112969025851</v>
      </c>
      <c r="AP12" s="20">
        <f ca="1">+'TUSD BE'!$T$12+'TUSD BE'!$AB$12+'TUSD BE'!$AD$12+'TUSD BE'!$AL$12</f>
        <v>127.36112969025851</v>
      </c>
    </row>
    <row r="13" spans="1:42" ht="11.25" customHeight="1" x14ac:dyDescent="0.3">
      <c r="A13" s="96"/>
      <c r="B13" s="96"/>
      <c r="C13" s="96"/>
      <c r="D13" s="96"/>
      <c r="E13" s="96" t="s">
        <v>77</v>
      </c>
      <c r="F13" s="96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-1.0449440631056444E-2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-1.0449440631056444E-2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27.058652078651043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27.058652078651043</v>
      </c>
      <c r="AC13" s="13">
        <f>'TUSD BE'!$AC$13*'TUSD BE'!$AC$58</f>
        <v>-1150.7912179725879</v>
      </c>
      <c r="AD13" s="13">
        <f>SUM($AC$13:$AC$13)</f>
        <v>-1150.7912179725879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-0.23066301419342511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-0.23066301419342511</v>
      </c>
      <c r="AM13" s="13">
        <f ca="1">SUMIF($L$4:$AL$4,"SUBTOTAL",$L$13:$AL$13)</f>
        <v>-1123.9736783487613</v>
      </c>
      <c r="AO13" s="20">
        <f ca="1">+'TUSD BE'!$T$13+'TUSD BE'!$AB$13+'TUSD BE'!$AD$13+'TUSD BE'!$AL$13</f>
        <v>3545.9971122106185</v>
      </c>
      <c r="AP13" s="20">
        <f ca="1">+'TUSD BE'!$T$13+'TUSD BE'!$AB$13+'TUSD BE'!$AD$13+'TUSD BE'!$AL$13</f>
        <v>3545.9971122106185</v>
      </c>
    </row>
    <row r="14" spans="1:42" ht="11.25" customHeight="1" x14ac:dyDescent="0.3">
      <c r="A14" s="96"/>
      <c r="B14" s="96"/>
      <c r="C14" s="96"/>
      <c r="D14" s="96"/>
      <c r="E14" s="96"/>
      <c r="F14" s="96"/>
      <c r="G14" s="18" t="s">
        <v>70</v>
      </c>
      <c r="H14" s="18" t="s">
        <v>68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-1.0449440631056444E-2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-1.0449440631056444E-2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-0.23066301419342511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-0.23066301419342511</v>
      </c>
      <c r="AM14" s="13">
        <f ca="1">SUMIF($L$4:$AL$4,"SUBTOTAL",$L$14:$AL$14)</f>
        <v>-0.24111245482448154</v>
      </c>
      <c r="AO14" s="20">
        <f ca="1">+'TUSD BE'!$T$14+'TUSD BE'!$AB$14+'TUSD BE'!$AD$14+'TUSD BE'!$AL$14</f>
        <v>12.574443706963578</v>
      </c>
      <c r="AP14" s="20">
        <f ca="1">+'TUSD BE'!$T$14+'TUSD BE'!$AB$14+'TUSD BE'!$AD$14+'TUSD BE'!$AL$14</f>
        <v>12.574443706963578</v>
      </c>
    </row>
    <row r="15" spans="1:42" ht="11.25" customHeight="1" x14ac:dyDescent="0.3">
      <c r="A15" s="96" t="s">
        <v>79</v>
      </c>
      <c r="B15" s="96" t="s">
        <v>78</v>
      </c>
      <c r="C15" s="96" t="s">
        <v>25</v>
      </c>
      <c r="D15" s="96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-3.7006219019734658E-5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-3.7006219019734658E-5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-1.8070348356905912</v>
      </c>
      <c r="AD15" s="13">
        <f>SUM($AC$15:$AC$15)</f>
        <v>-1.8070348356905912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-1.807071841909611</v>
      </c>
      <c r="AO15" s="20">
        <f ca="1">+'TUSD BE'!$T$15+'TUSD BE'!$AB$15+'TUSD BE'!$AD$15+'TUSD BE'!$AL$15</f>
        <v>4.3177468762352031</v>
      </c>
      <c r="AP15" s="20">
        <f ca="1">+'TUSD BE'!$T$15+'TUSD BE'!$AB$15+'TUSD BE'!$AD$15+'TUSD BE'!$AL$15</f>
        <v>4.3177468762352031</v>
      </c>
    </row>
    <row r="16" spans="1:42" ht="11.25" customHeight="1" x14ac:dyDescent="0.3">
      <c r="A16" s="96"/>
      <c r="B16" s="96"/>
      <c r="C16" s="96"/>
      <c r="D16" s="96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-3.7006219019734658E-5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-3.7006219019734658E-5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-9.9581285590101736</v>
      </c>
      <c r="AD16" s="13">
        <f>SUM($AC$16:$AC$16)</f>
        <v>-9.9581285590101736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-9.9581655652291925</v>
      </c>
      <c r="AO16" s="20">
        <f ca="1">+'TUSD BE'!$T$16+'TUSD BE'!$AB$16+'TUSD BE'!$AD$16+'TUSD BE'!$AL$16</f>
        <v>23.770323672279009</v>
      </c>
      <c r="AP16" s="20">
        <f ca="1">+'TUSD BE'!$T$16+'TUSD BE'!$AB$16+'TUSD BE'!$AD$16+'TUSD BE'!$AL$16</f>
        <v>23.770323672279009</v>
      </c>
    </row>
    <row r="17" spans="1:42" ht="11.25" customHeight="1" x14ac:dyDescent="0.3">
      <c r="A17" s="96" t="s">
        <v>22</v>
      </c>
      <c r="B17" s="96" t="s">
        <v>33</v>
      </c>
      <c r="C17" s="96" t="s">
        <v>24</v>
      </c>
      <c r="D17" s="96" t="s">
        <v>24</v>
      </c>
      <c r="E17" s="96" t="s">
        <v>25</v>
      </c>
      <c r="F17" s="96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'TUSD BE'!$L$17*'TUSD BE'!$L$58</f>
        <v>-0.18027567137889636</v>
      </c>
      <c r="M17" s="13">
        <f>'TUSD BE'!$M$17*'TUSD BE'!$M$58</f>
        <v>-1.0815444287420825E-2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-0.38231726489651924</v>
      </c>
      <c r="R17" s="13">
        <f>'TUSD BE'!$R$17*'TUSD BE'!$R$58</f>
        <v>-6.53687359636001E-2</v>
      </c>
      <c r="S17" s="13">
        <f>'TUSD BE'!$R$17*'TUSD BE'!$S$58</f>
        <v>0</v>
      </c>
      <c r="T17" s="13">
        <f ca="1">SUM($L$17:$S$17)</f>
        <v>-0.63877711652643643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11.815301428808519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11.815301428808519</v>
      </c>
      <c r="AC17" s="13">
        <f>'TUSD BE'!$AC$17*'TUSD BE'!$AC$58</f>
        <v>-412.06168839760477</v>
      </c>
      <c r="AD17" s="13">
        <f>SUM($AC$17:$AC$17)</f>
        <v>-412.06168839760477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-0.65599032523955914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-0.65599032523955914</v>
      </c>
      <c r="AM17" s="13">
        <f ca="1">SUMIF($L$4:$AL$4,"SUBTOTAL",$L$17:$AL$17)</f>
        <v>-401.54115441056223</v>
      </c>
      <c r="AO17" s="20">
        <f ca="1">+'TUSD BE'!$T$17+'TUSD BE'!$AB$17+'TUSD BE'!$AD$17+'TUSD BE'!$AL$17</f>
        <v>1494.0616193153382</v>
      </c>
      <c r="AP17" s="20">
        <f ca="1">+'TUSD BE'!$T$17+'TUSD BE'!$AB$17+'TUSD BE'!$AD$17+'TUSD BE'!$AL$17</f>
        <v>1494.0616193153382</v>
      </c>
    </row>
    <row r="18" spans="1:42" ht="11.25" customHeight="1" x14ac:dyDescent="0.3">
      <c r="A18" s="96"/>
      <c r="B18" s="96"/>
      <c r="C18" s="96"/>
      <c r="D18" s="96"/>
      <c r="E18" s="96"/>
      <c r="F18" s="96"/>
      <c r="G18" s="18" t="s">
        <v>82</v>
      </c>
      <c r="H18" s="18" t="s">
        <v>68</v>
      </c>
      <c r="I18" s="18">
        <f>'MERCADO TUSD'!$U$15</f>
        <v>0.19500000000000003</v>
      </c>
      <c r="J18" s="15"/>
      <c r="L18" s="13">
        <f>'TUSD BE'!$L$18*'TUSD BE'!$L$58</f>
        <v>-0.18027567137889636</v>
      </c>
      <c r="M18" s="13">
        <f>'TUSD BE'!$M$18*'TUSD BE'!$M$58</f>
        <v>-1.0815444287420825E-2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-0.38231726489651924</v>
      </c>
      <c r="R18" s="13">
        <f>'TUSD BE'!$R$18*'TUSD BE'!$R$58</f>
        <v>-6.53687359636001E-2</v>
      </c>
      <c r="S18" s="13">
        <f>'TUSD BE'!$R$18*'TUSD BE'!$S$58</f>
        <v>0</v>
      </c>
      <c r="T18" s="13">
        <f ca="1">SUM($L$18:$S$18)</f>
        <v>-0.63877711652643643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7.0892250803808388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7.0892250803808388</v>
      </c>
      <c r="AC18" s="13">
        <f>'TUSD BE'!$AC$18*'TUSD BE'!$AC$58</f>
        <v>-247.23703563968229</v>
      </c>
      <c r="AD18" s="13">
        <f>SUM($AC$18:$AC$18)</f>
        <v>-247.23703563968229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-0.65599032523955914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-0.65599032523955914</v>
      </c>
      <c r="AM18" s="13">
        <f ca="1">SUMIF($L$4:$AL$4,"SUBTOTAL",$L$18:$AL$18)</f>
        <v>-241.44257800106746</v>
      </c>
      <c r="AO18" s="20">
        <f ca="1">+'TUSD BE'!$T$18+'TUSD BE'!$AB$18+'TUSD BE'!$AD$18+'TUSD BE'!$AL$18</f>
        <v>963.23939468028664</v>
      </c>
      <c r="AP18" s="20">
        <f ca="1">+'TUSD BE'!$T$18+'TUSD BE'!$AB$18+'TUSD BE'!$AD$18+'TUSD BE'!$AL$18</f>
        <v>963.23939468028664</v>
      </c>
    </row>
    <row r="19" spans="1:42" ht="11.25" customHeight="1" x14ac:dyDescent="0.3">
      <c r="A19" s="96"/>
      <c r="B19" s="96"/>
      <c r="C19" s="96"/>
      <c r="D19" s="96"/>
      <c r="E19" s="96"/>
      <c r="F19" s="96"/>
      <c r="G19" s="18" t="s">
        <v>70</v>
      </c>
      <c r="H19" s="18" t="s">
        <v>68</v>
      </c>
      <c r="I19" s="18">
        <f>'MERCADO TUSD'!$U$16</f>
        <v>0.51100000000000001</v>
      </c>
      <c r="J19" s="15"/>
      <c r="L19" s="13">
        <f>'TUSD BE'!$L$19*'TUSD BE'!$L$58</f>
        <v>-0.18027567137889636</v>
      </c>
      <c r="M19" s="13">
        <f>'TUSD BE'!$M$19*'TUSD BE'!$M$58</f>
        <v>-1.0815444287420825E-2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-0.38231726489651924</v>
      </c>
      <c r="R19" s="13">
        <f>'TUSD BE'!$R$19*'TUSD BE'!$R$58</f>
        <v>-6.53687359636001E-2</v>
      </c>
      <c r="S19" s="13">
        <f>'TUSD BE'!$R$19*'TUSD BE'!$S$58</f>
        <v>0</v>
      </c>
      <c r="T19" s="13">
        <f ca="1">SUM($L$19:$S$19)</f>
        <v>-0.63877711652643643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2.3631487319531574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2.3631487319531574</v>
      </c>
      <c r="AC19" s="13">
        <f>'TUSD BE'!$AC$19*'TUSD BE'!$AC$58</f>
        <v>-82.412307544695039</v>
      </c>
      <c r="AD19" s="13">
        <f>SUM($AC$19:$AC$19)</f>
        <v>-82.412307544695039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-0.65599032523955914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-0.65599032523955914</v>
      </c>
      <c r="AM19" s="13">
        <f ca="1">SUMIF($L$4:$AL$4,"SUBTOTAL",$L$19:$AL$19)</f>
        <v>-81.343926254507878</v>
      </c>
      <c r="AO19" s="20">
        <f ca="1">+'TUSD BE'!$T$19+'TUSD BE'!$AB$19+'TUSD BE'!$AD$19+'TUSD BE'!$AL$19</f>
        <v>432.4169902534075</v>
      </c>
      <c r="AP19" s="20">
        <f ca="1">+'TUSD BE'!$T$19+'TUSD BE'!$AB$19+'TUSD BE'!$AD$19+'TUSD BE'!$AL$19</f>
        <v>432.4169902534075</v>
      </c>
    </row>
    <row r="20" spans="1:42" ht="11.25" customHeight="1" x14ac:dyDescent="0.3">
      <c r="A20" s="96"/>
      <c r="B20" s="96" t="s">
        <v>23</v>
      </c>
      <c r="C20" s="96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5284.665</v>
      </c>
      <c r="J20" s="15"/>
      <c r="L20" s="13">
        <f>'TUSD BE'!$L$20*'TUSD BE'!$L$58</f>
        <v>-0.18027567137889636</v>
      </c>
      <c r="M20" s="13">
        <f>'TUSD BE'!$M$20*'TUSD BE'!$M$58</f>
        <v>-1.0815444287420825E-2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-0.38231726489651924</v>
      </c>
      <c r="R20" s="13">
        <f>'TUSD BE'!$R$20*'TUSD BE'!$R$58</f>
        <v>-6.53687359636001E-2</v>
      </c>
      <c r="S20" s="13">
        <f>'TUSD BE'!$R$20*'TUSD BE'!$S$58</f>
        <v>0</v>
      </c>
      <c r="T20" s="13">
        <f ca="1">SUM($L$20:$S$20)</f>
        <v>-0.63877711652643643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4.0740360058676588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4.0740360058676588</v>
      </c>
      <c r="AC20" s="13">
        <f>'TUSD BE'!$AC$20*'TUSD BE'!$AC$58</f>
        <v>-142.09022438933528</v>
      </c>
      <c r="AD20" s="13">
        <f>SUM($AC$20:$AC$20)</f>
        <v>-142.09022438933528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-0.65599032523955914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-0.65599032523955914</v>
      </c>
      <c r="AM20" s="13">
        <f ca="1">SUMIF($L$4:$AL$4,"SUBTOTAL",$L$20:$AL$20)</f>
        <v>-139.31095582523363</v>
      </c>
      <c r="AO20" s="20">
        <f ca="1">+'TUSD BE'!$T$20+'TUSD BE'!$AB$20+'TUSD BE'!$AD$20+'TUSD BE'!$AL$20</f>
        <v>624.60320946316176</v>
      </c>
      <c r="AP20" s="20">
        <f ca="1">+'TUSD BE'!$T$20+'TUSD BE'!$AB$20+'TUSD BE'!$AD$20+'TUSD BE'!$AL$20</f>
        <v>624.60320946316176</v>
      </c>
    </row>
    <row r="21" spans="1:42" ht="11.25" customHeight="1" x14ac:dyDescent="0.3">
      <c r="A21" s="96"/>
      <c r="B21" s="96"/>
      <c r="C21" s="96"/>
      <c r="D21" s="17" t="s">
        <v>29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53.816000000000003</v>
      </c>
      <c r="J21" s="15"/>
      <c r="L21" s="13">
        <f>'TUSD BE'!$L$21*'TUSD BE'!$L$58</f>
        <v>0</v>
      </c>
      <c r="M21" s="13">
        <f>'TUSD BE'!$M$21*'TUSD BE'!$M$58</f>
        <v>-1.0815444287420825E-2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-1.0815444287420825E-2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4.0740360058676588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4.0740360058676588</v>
      </c>
      <c r="AC21" s="13">
        <f>'TUSD BE'!$AC$21*'TUSD BE'!$AC$58</f>
        <v>-142.09022438933528</v>
      </c>
      <c r="AD21" s="13">
        <f>SUM($AC$21:$AC$21)</f>
        <v>-142.09022438933528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-0.65599032523955914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-0.65599032523955914</v>
      </c>
      <c r="AM21" s="13">
        <f ca="1">SUMIF($L$4:$AL$4,"SUBTOTAL",$L$21:$AL$21)</f>
        <v>-138.68299415299461</v>
      </c>
      <c r="AO21" s="20">
        <f ca="1">+'TUSD BE'!$T$21+'TUSD BE'!$AB$21+'TUSD BE'!$AD$21+'TUSD BE'!$AL$21</f>
        <v>490.67462926475764</v>
      </c>
      <c r="AP21" s="20">
        <f ca="1">+'TUSD BE'!$T$21+'TUSD BE'!$AB$21+'TUSD BE'!$AD$21+'TUSD BE'!$AL$21</f>
        <v>490.67462926475764</v>
      </c>
    </row>
    <row r="22" spans="1:42" ht="11.25" customHeight="1" x14ac:dyDescent="0.3">
      <c r="A22" s="96"/>
      <c r="B22" s="96"/>
      <c r="C22" s="96"/>
      <c r="D22" s="17" t="s">
        <v>30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106.858</v>
      </c>
      <c r="J22" s="15"/>
      <c r="L22" s="13">
        <f>'TUSD BE'!$L$22*'TUSD BE'!$L$58</f>
        <v>0</v>
      </c>
      <c r="M22" s="13">
        <f>'TUSD BE'!$M$22*'TUSD BE'!$M$58</f>
        <v>-1.0815444287420825E-2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-1.0815444287420825E-2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4.0740360058676588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4.0740360058676588</v>
      </c>
      <c r="AC22" s="13">
        <f>'TUSD BE'!$AC$22*'TUSD BE'!$AC$58</f>
        <v>-142.09022438933528</v>
      </c>
      <c r="AD22" s="13">
        <f>SUM($AC$22:$AC$22)</f>
        <v>-142.09022438933528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-0.65599032523955914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-0.65599032523955914</v>
      </c>
      <c r="AM22" s="13">
        <f ca="1">SUMIF($L$4:$AL$4,"SUBTOTAL",$L$22:$AL$22)</f>
        <v>-138.68299415299461</v>
      </c>
      <c r="AO22" s="20">
        <f ca="1">+'TUSD BE'!$T$22+'TUSD BE'!$AB$22+'TUSD BE'!$AD$22+'TUSD BE'!$AL$22</f>
        <v>490.67462926475764</v>
      </c>
      <c r="AP22" s="20">
        <f ca="1">+'TUSD BE'!$T$22+'TUSD BE'!$AB$22+'TUSD BE'!$AD$22+'TUSD BE'!$AL$22</f>
        <v>490.67462926475764</v>
      </c>
    </row>
    <row r="23" spans="1:42" ht="11.25" customHeight="1" x14ac:dyDescent="0.3">
      <c r="A23" s="96"/>
      <c r="B23" s="96"/>
      <c r="C23" s="96"/>
      <c r="D23" s="17" t="s">
        <v>31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84.406000000000006</v>
      </c>
      <c r="J23" s="15"/>
      <c r="L23" s="13">
        <f>'TUSD BE'!$L$23*'TUSD BE'!$L$58</f>
        <v>0</v>
      </c>
      <c r="M23" s="13">
        <f>'TUSD BE'!$M$23*'TUSD BE'!$M$58</f>
        <v>-1.0815444287420825E-2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-1.0815444287420825E-2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4.0740360058676588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4.0740360058676588</v>
      </c>
      <c r="AC23" s="13">
        <f>'TUSD BE'!$AC$23*'TUSD BE'!$AC$58</f>
        <v>-142.09022438933528</v>
      </c>
      <c r="AD23" s="13">
        <f>SUM($AC$23:$AC$23)</f>
        <v>-142.09022438933528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-0.65599032523955914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-0.65599032523955914</v>
      </c>
      <c r="AM23" s="13">
        <f ca="1">SUMIF($L$4:$AL$4,"SUBTOTAL",$L$23:$AL$23)</f>
        <v>-138.68299415299461</v>
      </c>
      <c r="AO23" s="20">
        <f ca="1">+'TUSD BE'!$T$23+'TUSD BE'!$AB$23+'TUSD BE'!$AD$23+'TUSD BE'!$AL$23</f>
        <v>490.67462926475764</v>
      </c>
      <c r="AP23" s="20">
        <f ca="1">+'TUSD BE'!$T$23+'TUSD BE'!$AB$23+'TUSD BE'!$AD$23+'TUSD BE'!$AL$23</f>
        <v>490.67462926475764</v>
      </c>
    </row>
    <row r="24" spans="1:42" ht="11.25" customHeight="1" x14ac:dyDescent="0.3">
      <c r="A24" s="96"/>
      <c r="B24" s="96"/>
      <c r="C24" s="96"/>
      <c r="D24" s="17" t="s">
        <v>32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19.05</v>
      </c>
      <c r="J24" s="15"/>
      <c r="L24" s="13">
        <f>'TUSD BE'!$L$24*'TUSD BE'!$L$58</f>
        <v>0</v>
      </c>
      <c r="M24" s="13">
        <f>'TUSD BE'!$M$24*'TUSD BE'!$M$58</f>
        <v>-1.0815444287420825E-2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-1.0815444287420825E-2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4.0740360058676588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4.0740360058676588</v>
      </c>
      <c r="AC24" s="13">
        <f>'TUSD BE'!$AC$24*'TUSD BE'!$AC$58</f>
        <v>-142.09022438933528</v>
      </c>
      <c r="AD24" s="13">
        <f>SUM($AC$24:$AC$24)</f>
        <v>-142.09022438933528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-0.65599032523955914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-0.65599032523955914</v>
      </c>
      <c r="AM24" s="13">
        <f ca="1">SUMIF($L$4:$AL$4,"SUBTOTAL",$L$24:$AL$24)</f>
        <v>-138.68299415299461</v>
      </c>
      <c r="AO24" s="20">
        <f ca="1">+'TUSD BE'!$T$24+'TUSD BE'!$AB$24+'TUSD BE'!$AD$24+'TUSD BE'!$AL$24</f>
        <v>490.67462926475764</v>
      </c>
      <c r="AP24" s="20">
        <f ca="1">+'TUSD BE'!$T$24+'TUSD BE'!$AB$24+'TUSD BE'!$AD$24+'TUSD BE'!$AL$24</f>
        <v>490.67462926475764</v>
      </c>
    </row>
    <row r="25" spans="1:42" ht="11.25" customHeight="1" x14ac:dyDescent="0.3">
      <c r="A25" s="96"/>
      <c r="B25" s="96" t="s">
        <v>84</v>
      </c>
      <c r="C25" s="96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'TUSD BE'!$L$25*'TUSD BE'!$L$58</f>
        <v>-0.18027567137889636</v>
      </c>
      <c r="M25" s="13">
        <f>'TUSD BE'!$M$25*'TUSD BE'!$M$58</f>
        <v>-1.0815444287420825E-2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-0.38231726489651924</v>
      </c>
      <c r="R25" s="13">
        <f>'TUSD BE'!$R$25*'TUSD BE'!$R$58</f>
        <v>-6.53687359636001E-2</v>
      </c>
      <c r="S25" s="13">
        <f>'TUSD BE'!$R$25*'TUSD BE'!$S$58</f>
        <v>0</v>
      </c>
      <c r="T25" s="13">
        <f ca="1">SUM($L$25:$S$25)</f>
        <v>-0.63877711652643643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4.0740360058676588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4.0740360058676588</v>
      </c>
      <c r="AC25" s="13">
        <f>'TUSD BE'!$AC$25*'TUSD BE'!$AC$58</f>
        <v>-142.09022438933528</v>
      </c>
      <c r="AD25" s="13">
        <f>SUM($AC$25:$AC$25)</f>
        <v>-142.09022438933528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-0.65599032523955914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-0.65599032523955914</v>
      </c>
      <c r="AM25" s="13">
        <f ca="1">SUMIF($L$4:$AL$4,"SUBTOTAL",$L$25:$AL$25)</f>
        <v>-139.31095582523363</v>
      </c>
      <c r="AO25" s="20">
        <f ca="1">+'TUSD BE'!$T$25+'TUSD BE'!$AB$25+'TUSD BE'!$AD$25+'TUSD BE'!$AL$25</f>
        <v>624.60320946316176</v>
      </c>
      <c r="AP25" s="20">
        <f ca="1">+'TUSD BE'!$T$25+'TUSD BE'!$AB$25+'TUSD BE'!$AD$25+'TUSD BE'!$AL$25</f>
        <v>624.60320946316176</v>
      </c>
    </row>
    <row r="26" spans="1:42" ht="11.25" customHeight="1" x14ac:dyDescent="0.3">
      <c r="A26" s="96"/>
      <c r="B26" s="96"/>
      <c r="C26" s="96"/>
      <c r="D26" s="17" t="s">
        <v>29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-1.0815444287420825E-2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-1.0815444287420825E-2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4.0740360058676588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4.0740360058676588</v>
      </c>
      <c r="AC26" s="13">
        <f>'TUSD BE'!$AC$26*'TUSD BE'!$AC$58</f>
        <v>-142.09022438933528</v>
      </c>
      <c r="AD26" s="13">
        <f>SUM($AC$26:$AC$26)</f>
        <v>-142.09022438933528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-0.65599032523955914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-0.65599032523955914</v>
      </c>
      <c r="AM26" s="13">
        <f ca="1">SUMIF($L$4:$AL$4,"SUBTOTAL",$L$26:$AL$26)</f>
        <v>-138.68299415299461</v>
      </c>
      <c r="AO26" s="20">
        <f ca="1">+'TUSD BE'!$T$26+'TUSD BE'!$AB$26+'TUSD BE'!$AD$26+'TUSD BE'!$AL$26</f>
        <v>490.67462926475764</v>
      </c>
      <c r="AP26" s="20">
        <f ca="1">+'TUSD BE'!$T$26+'TUSD BE'!$AB$26+'TUSD BE'!$AD$26+'TUSD BE'!$AL$26</f>
        <v>490.67462926475764</v>
      </c>
    </row>
    <row r="27" spans="1:42" ht="11.25" customHeight="1" x14ac:dyDescent="0.3">
      <c r="A27" s="96"/>
      <c r="B27" s="96"/>
      <c r="C27" s="96"/>
      <c r="D27" s="17" t="s">
        <v>30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-1.0815444287420825E-2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-1.0815444287420825E-2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4.0740360058676588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4.0740360058676588</v>
      </c>
      <c r="AC27" s="13">
        <f>'TUSD BE'!$AC$27*'TUSD BE'!$AC$58</f>
        <v>-142.09022438933528</v>
      </c>
      <c r="AD27" s="13">
        <f>SUM($AC$27:$AC$27)</f>
        <v>-142.09022438933528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-0.65599032523955914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-0.65599032523955914</v>
      </c>
      <c r="AM27" s="13">
        <f ca="1">SUMIF($L$4:$AL$4,"SUBTOTAL",$L$27:$AL$27)</f>
        <v>-138.68299415299461</v>
      </c>
      <c r="AO27" s="20">
        <f ca="1">+'TUSD BE'!$T$27+'TUSD BE'!$AB$27+'TUSD BE'!$AD$27+'TUSD BE'!$AL$27</f>
        <v>490.67462926475764</v>
      </c>
      <c r="AP27" s="20">
        <f ca="1">+'TUSD BE'!$T$27+'TUSD BE'!$AB$27+'TUSD BE'!$AD$27+'TUSD BE'!$AL$27</f>
        <v>490.67462926475764</v>
      </c>
    </row>
    <row r="28" spans="1:42" ht="11.25" customHeight="1" x14ac:dyDescent="0.3">
      <c r="A28" s="96"/>
      <c r="B28" s="96"/>
      <c r="C28" s="96"/>
      <c r="D28" s="17" t="s">
        <v>31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-1.0815444287420825E-2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-1.0815444287420825E-2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4.0740360058676588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4.0740360058676588</v>
      </c>
      <c r="AC28" s="13">
        <f>'TUSD BE'!$AC$28*'TUSD BE'!$AC$58</f>
        <v>-142.09022438933528</v>
      </c>
      <c r="AD28" s="13">
        <f>SUM($AC$28:$AC$28)</f>
        <v>-142.09022438933528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-0.65599032523955914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-0.65599032523955914</v>
      </c>
      <c r="AM28" s="13">
        <f ca="1">SUMIF($L$4:$AL$4,"SUBTOTAL",$L$28:$AL$28)</f>
        <v>-138.68299415299461</v>
      </c>
      <c r="AO28" s="20">
        <f ca="1">+'TUSD BE'!$T$28+'TUSD BE'!$AB$28+'TUSD BE'!$AD$28+'TUSD BE'!$AL$28</f>
        <v>490.67462926475764</v>
      </c>
      <c r="AP28" s="20">
        <f ca="1">+'TUSD BE'!$T$28+'TUSD BE'!$AB$28+'TUSD BE'!$AD$28+'TUSD BE'!$AL$28</f>
        <v>490.67462926475764</v>
      </c>
    </row>
    <row r="29" spans="1:42" ht="11.25" customHeight="1" x14ac:dyDescent="0.3">
      <c r="A29" s="96"/>
      <c r="B29" s="96"/>
      <c r="C29" s="96"/>
      <c r="D29" s="17" t="s">
        <v>32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-1.0815444287420825E-2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-1.0815444287420825E-2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4.0740360058676588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4.0740360058676588</v>
      </c>
      <c r="AC29" s="13">
        <f>'TUSD BE'!$AC$29*'TUSD BE'!$AC$58</f>
        <v>-142.09022438933528</v>
      </c>
      <c r="AD29" s="13">
        <f>SUM($AC$29:$AC$29)</f>
        <v>-142.09022438933528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-0.65599032523955914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-0.65599032523955914</v>
      </c>
      <c r="AM29" s="13">
        <f ca="1">SUMIF($L$4:$AL$4,"SUBTOTAL",$L$29:$AL$29)</f>
        <v>-138.68299415299461</v>
      </c>
      <c r="AO29" s="20">
        <f ca="1">+'TUSD BE'!$T$29+'TUSD BE'!$AB$29+'TUSD BE'!$AD$29+'TUSD BE'!$AL$29</f>
        <v>490.67462926475764</v>
      </c>
      <c r="AP29" s="20">
        <f ca="1">+'TUSD BE'!$T$29+'TUSD BE'!$AB$29+'TUSD BE'!$AD$29+'TUSD BE'!$AL$29</f>
        <v>490.67462926475764</v>
      </c>
    </row>
    <row r="30" spans="1:42" ht="11.25" customHeight="1" x14ac:dyDescent="0.3">
      <c r="A30" s="96" t="s">
        <v>41</v>
      </c>
      <c r="B30" s="96" t="s">
        <v>33</v>
      </c>
      <c r="C30" s="96" t="s">
        <v>42</v>
      </c>
      <c r="D30" s="96" t="s">
        <v>25</v>
      </c>
      <c r="E30" s="96" t="s">
        <v>25</v>
      </c>
      <c r="F30" s="96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'TUSD BE'!$L$30*'TUSD BE'!$L$58</f>
        <v>-0.18027567137889636</v>
      </c>
      <c r="M30" s="13">
        <f>'TUSD BE'!$M$30*'TUSD BE'!$M$58</f>
        <v>-1.0815444287420825E-2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-0.38231726489651924</v>
      </c>
      <c r="R30" s="13">
        <f>'TUSD BE'!$R$30*'TUSD BE'!$R$58</f>
        <v>-6.53687359636001E-2</v>
      </c>
      <c r="S30" s="13">
        <f>'TUSD BE'!$R$30*'TUSD BE'!$S$58</f>
        <v>0</v>
      </c>
      <c r="T30" s="13">
        <f ca="1">SUM($L$30:$S$30)</f>
        <v>-0.63877711652643643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12.630020183790599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12.630020183790599</v>
      </c>
      <c r="AC30" s="13">
        <f>'TUSD BE'!$AC$30*'TUSD BE'!$AC$58</f>
        <v>-440.4796956069394</v>
      </c>
      <c r="AD30" s="13">
        <f>SUM($AC$30:$AC$30)</f>
        <v>-440.4796956069394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-0.65599032523955914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-0.65599032523955914</v>
      </c>
      <c r="AM30" s="13">
        <f ca="1">SUMIF($L$4:$AL$4,"SUBTOTAL",$L$30:$AL$30)</f>
        <v>-429.14444286491477</v>
      </c>
      <c r="AO30" s="20">
        <f ca="1">+'TUSD BE'!$T$30+'TUSD BE'!$AB$30+'TUSD BE'!$AD$30+'TUSD BE'!$AL$30</f>
        <v>1585.579057245792</v>
      </c>
      <c r="AP30" s="20">
        <f ca="1">+'TUSD BE'!$T$30+'TUSD BE'!$AB$30+'TUSD BE'!$AD$30+'TUSD BE'!$AL$30</f>
        <v>1585.579057245792</v>
      </c>
    </row>
    <row r="31" spans="1:42" ht="11.25" customHeight="1" x14ac:dyDescent="0.3">
      <c r="A31" s="96"/>
      <c r="B31" s="96"/>
      <c r="C31" s="96"/>
      <c r="D31" s="96"/>
      <c r="E31" s="96"/>
      <c r="F31" s="96"/>
      <c r="G31" s="18" t="s">
        <v>82</v>
      </c>
      <c r="H31" s="18" t="s">
        <v>68</v>
      </c>
      <c r="I31" s="18">
        <f>'MERCADO TUSD'!$U$28</f>
        <v>0</v>
      </c>
      <c r="J31" s="15"/>
      <c r="L31" s="13">
        <f>'TUSD BE'!$L$31*'TUSD BE'!$L$58</f>
        <v>-0.18027567137889636</v>
      </c>
      <c r="M31" s="13">
        <f>'TUSD BE'!$M$31*'TUSD BE'!$M$58</f>
        <v>-1.0815444287420825E-2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-0.38231726489651924</v>
      </c>
      <c r="R31" s="13">
        <f>'TUSD BE'!$R$31*'TUSD BE'!$R$58</f>
        <v>-6.53687359636001E-2</v>
      </c>
      <c r="S31" s="13">
        <f>'TUSD BE'!$R$31*'TUSD BE'!$S$58</f>
        <v>0</v>
      </c>
      <c r="T31" s="13">
        <f ca="1">SUM($L$31:$S$31)</f>
        <v>-0.63877711652643643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7.5781447795615398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7.5781447795615398</v>
      </c>
      <c r="AC31" s="13">
        <f>'TUSD BE'!$AC$31*'TUSD BE'!$AC$58</f>
        <v>-264.28784749898961</v>
      </c>
      <c r="AD31" s="13">
        <f>SUM($AC$31:$AC$31)</f>
        <v>-264.28784749898961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-0.65599032523955914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-0.65599032523955914</v>
      </c>
      <c r="AM31" s="13">
        <f ca="1">SUMIF($L$4:$AL$4,"SUBTOTAL",$L$31:$AL$31)</f>
        <v>-258.00447016119404</v>
      </c>
      <c r="AO31" s="20">
        <f ca="1">+'TUSD BE'!$T$31+'TUSD BE'!$AB$31+'TUSD BE'!$AD$31+'TUSD BE'!$AL$31</f>
        <v>1018.1524480704046</v>
      </c>
      <c r="AP31" s="20">
        <f ca="1">+'TUSD BE'!$T$31+'TUSD BE'!$AB$31+'TUSD BE'!$AD$31+'TUSD BE'!$AL$31</f>
        <v>1018.1524480704046</v>
      </c>
    </row>
    <row r="32" spans="1:42" ht="11.25" customHeight="1" x14ac:dyDescent="0.3">
      <c r="A32" s="96"/>
      <c r="B32" s="96"/>
      <c r="C32" s="96"/>
      <c r="D32" s="96"/>
      <c r="E32" s="96"/>
      <c r="F32" s="96"/>
      <c r="G32" s="18" t="s">
        <v>70</v>
      </c>
      <c r="H32" s="18" t="s">
        <v>68</v>
      </c>
      <c r="I32" s="18">
        <f>'MERCADO TUSD'!$U$29</f>
        <v>0</v>
      </c>
      <c r="J32" s="15"/>
      <c r="L32" s="13">
        <f>'TUSD BE'!$L$32*'TUSD BE'!$L$58</f>
        <v>-0.18027567137889636</v>
      </c>
      <c r="M32" s="13">
        <f>'TUSD BE'!$M$32*'TUSD BE'!$M$58</f>
        <v>-1.0815444287420825E-2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-0.38231726489651924</v>
      </c>
      <c r="R32" s="13">
        <f>'TUSD BE'!$R$32*'TUSD BE'!$R$58</f>
        <v>-6.53687359636001E-2</v>
      </c>
      <c r="S32" s="13">
        <f>'TUSD BE'!$R$32*'TUSD BE'!$S$58</f>
        <v>0</v>
      </c>
      <c r="T32" s="13">
        <f ca="1">SUM($L$32:$S$32)</f>
        <v>-0.63877711652643643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2.5260482598538467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2.5260482598538467</v>
      </c>
      <c r="AC32" s="13">
        <f>'TUSD BE'!$AC$32*'TUSD BE'!$AC$58</f>
        <v>-88.095924053974926</v>
      </c>
      <c r="AD32" s="13">
        <f>SUM($AC$32:$AC$32)</f>
        <v>-88.095924053974926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-0.65599032523955914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-0.65599032523955914</v>
      </c>
      <c r="AM32" s="13">
        <f ca="1">SUMIF($L$4:$AL$4,"SUBTOTAL",$L$32:$AL$32)</f>
        <v>-86.864643235887073</v>
      </c>
      <c r="AO32" s="20">
        <f ca="1">+'TUSD BE'!$T$32+'TUSD BE'!$AB$32+'TUSD BE'!$AD$32+'TUSD BE'!$AL$32</f>
        <v>450.71922747153229</v>
      </c>
      <c r="AP32" s="20">
        <f ca="1">+'TUSD BE'!$T$32+'TUSD BE'!$AB$32+'TUSD BE'!$AD$32+'TUSD BE'!$AL$32</f>
        <v>450.71922747153229</v>
      </c>
    </row>
    <row r="33" spans="1:42" ht="11.25" customHeight="1" x14ac:dyDescent="0.3">
      <c r="A33" s="96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1383.9670000000001</v>
      </c>
      <c r="J33" s="15"/>
      <c r="L33" s="13">
        <f>'TUSD BE'!$L$33*'TUSD BE'!$L$58</f>
        <v>-0.18027567137889636</v>
      </c>
      <c r="M33" s="13">
        <f>'TUSD BE'!$M$33*'TUSD BE'!$M$58</f>
        <v>-1.0815444287420825E-2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-0.38231726489651924</v>
      </c>
      <c r="R33" s="13">
        <f>'TUSD BE'!$R$33*'TUSD BE'!$R$58</f>
        <v>-6.53687359636001E-2</v>
      </c>
      <c r="S33" s="13">
        <f>'TUSD BE'!$R$33*'TUSD BE'!$S$58</f>
        <v>0</v>
      </c>
      <c r="T33" s="13">
        <f ca="1">SUM($L$33:$S$33)</f>
        <v>-0.63877711652643643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4.0740360058676588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4.0740360058676588</v>
      </c>
      <c r="AC33" s="13">
        <f>'TUSD BE'!$AC$33*'TUSD BE'!$AC$58</f>
        <v>-142.09022438933528</v>
      </c>
      <c r="AD33" s="13">
        <f>SUM($AC$33:$AC$33)</f>
        <v>-142.09022438933528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-0.65599032523955914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-0.65599032523955914</v>
      </c>
      <c r="AM33" s="13">
        <f ca="1">SUMIF($L$4:$AL$4,"SUBTOTAL",$L$33:$AL$33)</f>
        <v>-139.31095582523363</v>
      </c>
      <c r="AO33" s="20">
        <f ca="1">+'TUSD BE'!$T$33+'TUSD BE'!$AB$33+'TUSD BE'!$AD$33+'TUSD BE'!$AL$33</f>
        <v>624.60320946316176</v>
      </c>
      <c r="AP33" s="20">
        <f ca="1">+'TUSD BE'!$T$33+'TUSD BE'!$AB$33+'TUSD BE'!$AD$33+'TUSD BE'!$AL$33</f>
        <v>624.60320946316176</v>
      </c>
    </row>
    <row r="34" spans="1:42" ht="11.25" customHeight="1" x14ac:dyDescent="0.3">
      <c r="A34" s="96"/>
      <c r="B34" s="96" t="s">
        <v>33</v>
      </c>
      <c r="C34" s="96" t="s">
        <v>42</v>
      </c>
      <c r="D34" s="96" t="s">
        <v>85</v>
      </c>
      <c r="E34" s="96" t="s">
        <v>25</v>
      </c>
      <c r="F34" s="96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'TUSD BE'!$L$34*'TUSD BE'!$L$58</f>
        <v>-0.18027567137889636</v>
      </c>
      <c r="M34" s="13">
        <f>'TUSD BE'!$M$34*'TUSD BE'!$M$58</f>
        <v>-1.0815444287420825E-2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-0.38231726489651924</v>
      </c>
      <c r="R34" s="13">
        <f>'TUSD BE'!$R$34*'TUSD BE'!$R$58</f>
        <v>-6.53687359636001E-2</v>
      </c>
      <c r="S34" s="13">
        <f>'TUSD BE'!$R$34*'TUSD BE'!$S$58</f>
        <v>0</v>
      </c>
      <c r="T34" s="13">
        <f ca="1">SUM($L$34:$S$34)</f>
        <v>-0.63877711652643643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12.630020183790599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12.630020183790599</v>
      </c>
      <c r="AC34" s="13">
        <f>'TUSD BE'!$AC$34*'TUSD BE'!$AC$58</f>
        <v>-440.4796956069394</v>
      </c>
      <c r="AD34" s="13">
        <f>SUM($AC$34:$AC$34)</f>
        <v>-440.4796956069394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-0.65599032523955914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-0.65599032523955914</v>
      </c>
      <c r="AM34" s="13">
        <f ca="1">SUMIF($L$4:$AL$4,"SUBTOTAL",$L$34:$AL$34)</f>
        <v>-429.14444286491477</v>
      </c>
      <c r="AO34" s="20">
        <f ca="1">+'TUSD BE'!$T$34+'TUSD BE'!$AB$34+'TUSD BE'!$AD$34+'TUSD BE'!$AL$34</f>
        <v>1585.579057245792</v>
      </c>
      <c r="AP34" s="20">
        <f ca="1">+'TUSD BE'!$T$34+'TUSD BE'!$AB$34+'TUSD BE'!$AD$34+'TUSD BE'!$AL$34</f>
        <v>1585.579057245792</v>
      </c>
    </row>
    <row r="35" spans="1:42" ht="11.25" customHeight="1" x14ac:dyDescent="0.3">
      <c r="A35" s="96"/>
      <c r="B35" s="96"/>
      <c r="C35" s="96"/>
      <c r="D35" s="96"/>
      <c r="E35" s="96"/>
      <c r="F35" s="96"/>
      <c r="G35" s="18" t="s">
        <v>82</v>
      </c>
      <c r="H35" s="18" t="s">
        <v>68</v>
      </c>
      <c r="I35" s="18">
        <f>'MERCADO TUSD'!$U$32</f>
        <v>0</v>
      </c>
      <c r="J35" s="15"/>
      <c r="L35" s="13">
        <f>'TUSD BE'!$L$35*'TUSD BE'!$L$58</f>
        <v>-0.18027567137889636</v>
      </c>
      <c r="M35" s="13">
        <f>'TUSD BE'!$M$35*'TUSD BE'!$M$58</f>
        <v>-1.0815444287420825E-2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-0.38231726489651924</v>
      </c>
      <c r="R35" s="13">
        <f>'TUSD BE'!$R$35*'TUSD BE'!$R$58</f>
        <v>-6.53687359636001E-2</v>
      </c>
      <c r="S35" s="13">
        <f>'TUSD BE'!$R$35*'TUSD BE'!$S$58</f>
        <v>0</v>
      </c>
      <c r="T35" s="13">
        <f ca="1">SUM($L$35:$S$35)</f>
        <v>-0.63877711652643643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7.5781447795615398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7.5781447795615398</v>
      </c>
      <c r="AC35" s="13">
        <f>'TUSD BE'!$AC$35*'TUSD BE'!$AC$58</f>
        <v>-264.28784749898961</v>
      </c>
      <c r="AD35" s="13">
        <f>SUM($AC$35:$AC$35)</f>
        <v>-264.28784749898961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-0.65599032523955914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-0.65599032523955914</v>
      </c>
      <c r="AM35" s="13">
        <f ca="1">SUMIF($L$4:$AL$4,"SUBTOTAL",$L$35:$AL$35)</f>
        <v>-258.00447016119404</v>
      </c>
      <c r="AO35" s="20">
        <f ca="1">+'TUSD BE'!$T$35+'TUSD BE'!$AB$35+'TUSD BE'!$AD$35+'TUSD BE'!$AL$35</f>
        <v>1018.1524480704046</v>
      </c>
      <c r="AP35" s="20">
        <f ca="1">+'TUSD BE'!$T$35+'TUSD BE'!$AB$35+'TUSD BE'!$AD$35+'TUSD BE'!$AL$35</f>
        <v>1018.1524480704046</v>
      </c>
    </row>
    <row r="36" spans="1:42" ht="11.25" customHeight="1" x14ac:dyDescent="0.3">
      <c r="A36" s="96"/>
      <c r="B36" s="96"/>
      <c r="C36" s="96"/>
      <c r="D36" s="96"/>
      <c r="E36" s="96"/>
      <c r="F36" s="96"/>
      <c r="G36" s="18" t="s">
        <v>70</v>
      </c>
      <c r="H36" s="18" t="s">
        <v>68</v>
      </c>
      <c r="I36" s="18">
        <f>'MERCADO TUSD'!$U$33</f>
        <v>0</v>
      </c>
      <c r="J36" s="15"/>
      <c r="L36" s="13">
        <f>'TUSD BE'!$L$36*'TUSD BE'!$L$58</f>
        <v>-0.18027567137889636</v>
      </c>
      <c r="M36" s="13">
        <f>'TUSD BE'!$M$36*'TUSD BE'!$M$58</f>
        <v>-1.0815444287420825E-2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-0.38231726489651924</v>
      </c>
      <c r="R36" s="13">
        <f>'TUSD BE'!$R$36*'TUSD BE'!$R$58</f>
        <v>-6.53687359636001E-2</v>
      </c>
      <c r="S36" s="13">
        <f>'TUSD BE'!$R$36*'TUSD BE'!$S$58</f>
        <v>0</v>
      </c>
      <c r="T36" s="13">
        <f ca="1">SUM($L$36:$S$36)</f>
        <v>-0.63877711652643643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2.5260482598538467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2.5260482598538467</v>
      </c>
      <c r="AC36" s="13">
        <f>'TUSD BE'!$AC$36*'TUSD BE'!$AC$58</f>
        <v>-88.095924053974926</v>
      </c>
      <c r="AD36" s="13">
        <f>SUM($AC$36:$AC$36)</f>
        <v>-88.095924053974926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-0.65599032523955914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-0.65599032523955914</v>
      </c>
      <c r="AM36" s="13">
        <f ca="1">SUMIF($L$4:$AL$4,"SUBTOTAL",$L$36:$AL$36)</f>
        <v>-86.864643235887073</v>
      </c>
      <c r="AO36" s="20">
        <f ca="1">+'TUSD BE'!$T$36+'TUSD BE'!$AB$36+'TUSD BE'!$AD$36+'TUSD BE'!$AL$36</f>
        <v>450.71922747153229</v>
      </c>
      <c r="AP36" s="20">
        <f ca="1">+'TUSD BE'!$T$36+'TUSD BE'!$AB$36+'TUSD BE'!$AD$36+'TUSD BE'!$AL$36</f>
        <v>450.71922747153229</v>
      </c>
    </row>
    <row r="37" spans="1:42" ht="11.25" customHeight="1" x14ac:dyDescent="0.3">
      <c r="A37" s="96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'TUSD BE'!$L$37*'TUSD BE'!$L$58</f>
        <v>-0.18027567137889636</v>
      </c>
      <c r="M37" s="13">
        <f>'TUSD BE'!$M$37*'TUSD BE'!$M$58</f>
        <v>-1.0815444287420825E-2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-0.38231726489651924</v>
      </c>
      <c r="R37" s="13">
        <f>'TUSD BE'!$R$37*'TUSD BE'!$R$58</f>
        <v>-6.53687359636001E-2</v>
      </c>
      <c r="S37" s="13">
        <f>'TUSD BE'!$R$37*'TUSD BE'!$S$58</f>
        <v>0</v>
      </c>
      <c r="T37" s="13">
        <f ca="1">SUM($L$37:$S$37)</f>
        <v>-0.63877711652643643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4.0740360058676588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4.0740360058676588</v>
      </c>
      <c r="AC37" s="13">
        <f>'TUSD BE'!$AC$37*'TUSD BE'!$AC$58</f>
        <v>-142.09022438933528</v>
      </c>
      <c r="AD37" s="13">
        <f>SUM($AC$37:$AC$37)</f>
        <v>-142.09022438933528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-0.65599032523955914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-0.65599032523955914</v>
      </c>
      <c r="AM37" s="13">
        <f ca="1">SUMIF($L$4:$AL$4,"SUBTOTAL",$L$37:$AL$37)</f>
        <v>-139.31095582523363</v>
      </c>
      <c r="AO37" s="20">
        <f ca="1">+'TUSD BE'!$T$37+'TUSD BE'!$AB$37+'TUSD BE'!$AD$37+'TUSD BE'!$AL$37</f>
        <v>624.60320946316176</v>
      </c>
      <c r="AP37" s="20">
        <f ca="1">+'TUSD BE'!$T$37+'TUSD BE'!$AB$37+'TUSD BE'!$AD$37+'TUSD BE'!$AL$37</f>
        <v>624.60320946316176</v>
      </c>
    </row>
    <row r="38" spans="1:42" ht="11.25" customHeight="1" x14ac:dyDescent="0.3">
      <c r="A38" s="96"/>
      <c r="B38" s="96" t="s">
        <v>33</v>
      </c>
      <c r="C38" s="96" t="s">
        <v>42</v>
      </c>
      <c r="D38" s="96" t="s">
        <v>86</v>
      </c>
      <c r="E38" s="96" t="s">
        <v>25</v>
      </c>
      <c r="F38" s="96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'TUSD BE'!$L$38*'TUSD BE'!$L$58</f>
        <v>-0.18027567137889636</v>
      </c>
      <c r="M38" s="13">
        <f>'TUSD BE'!$M$38*'TUSD BE'!$M$58</f>
        <v>-1.0815444287420825E-2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-0.38231726489651924</v>
      </c>
      <c r="R38" s="13">
        <f>'TUSD BE'!$R$38*'TUSD BE'!$R$58</f>
        <v>-6.53687359636001E-2</v>
      </c>
      <c r="S38" s="13">
        <f>'TUSD BE'!$R$38*'TUSD BE'!$S$58</f>
        <v>0</v>
      </c>
      <c r="T38" s="13">
        <f ca="1">SUM($L$38:$S$38)</f>
        <v>-0.63877711652643643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12.630020183790599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12.630020183790599</v>
      </c>
      <c r="AC38" s="13">
        <f>'TUSD BE'!$AC$38*'TUSD BE'!$AC$58</f>
        <v>-440.4796956069394</v>
      </c>
      <c r="AD38" s="13">
        <f>SUM($AC$38:$AC$38)</f>
        <v>-440.4796956069394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-0.65599032523955914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-0.65599032523955914</v>
      </c>
      <c r="AM38" s="13">
        <f ca="1">SUMIF($L$4:$AL$4,"SUBTOTAL",$L$38:$AL$38)</f>
        <v>-429.14444286491477</v>
      </c>
      <c r="AO38" s="20">
        <f ca="1">+'TUSD BE'!$T$38+'TUSD BE'!$AB$38+'TUSD BE'!$AD$38+'TUSD BE'!$AL$38</f>
        <v>1585.579057245792</v>
      </c>
      <c r="AP38" s="20">
        <f ca="1">+'TUSD BE'!$T$38+'TUSD BE'!$AB$38+'TUSD BE'!$AD$38+'TUSD BE'!$AL$38</f>
        <v>1585.579057245792</v>
      </c>
    </row>
    <row r="39" spans="1:42" ht="11.25" customHeight="1" x14ac:dyDescent="0.3">
      <c r="A39" s="96"/>
      <c r="B39" s="96"/>
      <c r="C39" s="96"/>
      <c r="D39" s="96"/>
      <c r="E39" s="96"/>
      <c r="F39" s="96"/>
      <c r="G39" s="18" t="s">
        <v>82</v>
      </c>
      <c r="H39" s="18" t="s">
        <v>68</v>
      </c>
      <c r="I39" s="18">
        <f>'MERCADO TUSD'!$U$36</f>
        <v>0</v>
      </c>
      <c r="J39" s="15"/>
      <c r="L39" s="13">
        <f>'TUSD BE'!$L$39*'TUSD BE'!$L$58</f>
        <v>-0.18027567137889636</v>
      </c>
      <c r="M39" s="13">
        <f>'TUSD BE'!$M$39*'TUSD BE'!$M$58</f>
        <v>-1.0815444287420825E-2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-0.38231726489651924</v>
      </c>
      <c r="R39" s="13">
        <f>'TUSD BE'!$R$39*'TUSD BE'!$R$58</f>
        <v>-6.53687359636001E-2</v>
      </c>
      <c r="S39" s="13">
        <f>'TUSD BE'!$R$39*'TUSD BE'!$S$58</f>
        <v>0</v>
      </c>
      <c r="T39" s="13">
        <f ca="1">SUM($L$39:$S$39)</f>
        <v>-0.63877711652643643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7.5781447795615398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7.5781447795615398</v>
      </c>
      <c r="AC39" s="13">
        <f>'TUSD BE'!$AC$39*'TUSD BE'!$AC$58</f>
        <v>-264.28784749898961</v>
      </c>
      <c r="AD39" s="13">
        <f>SUM($AC$39:$AC$39)</f>
        <v>-264.28784749898961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-0.65599032523955914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-0.65599032523955914</v>
      </c>
      <c r="AM39" s="13">
        <f ca="1">SUMIF($L$4:$AL$4,"SUBTOTAL",$L$39:$AL$39)</f>
        <v>-258.00447016119404</v>
      </c>
      <c r="AO39" s="20">
        <f ca="1">+'TUSD BE'!$T$39+'TUSD BE'!$AB$39+'TUSD BE'!$AD$39+'TUSD BE'!$AL$39</f>
        <v>1018.1524480704046</v>
      </c>
      <c r="AP39" s="20">
        <f ca="1">+'TUSD BE'!$T$39+'TUSD BE'!$AB$39+'TUSD BE'!$AD$39+'TUSD BE'!$AL$39</f>
        <v>1018.1524480704046</v>
      </c>
    </row>
    <row r="40" spans="1:42" ht="11.25" customHeight="1" x14ac:dyDescent="0.3">
      <c r="A40" s="96"/>
      <c r="B40" s="96"/>
      <c r="C40" s="96"/>
      <c r="D40" s="96"/>
      <c r="E40" s="96"/>
      <c r="F40" s="96"/>
      <c r="G40" s="18" t="s">
        <v>70</v>
      </c>
      <c r="H40" s="18" t="s">
        <v>68</v>
      </c>
      <c r="I40" s="18">
        <f>'MERCADO TUSD'!$U$37</f>
        <v>0</v>
      </c>
      <c r="J40" s="15"/>
      <c r="L40" s="13">
        <f>'TUSD BE'!$L$40*'TUSD BE'!$L$58</f>
        <v>-0.18027567137889636</v>
      </c>
      <c r="M40" s="13">
        <f>'TUSD BE'!$M$40*'TUSD BE'!$M$58</f>
        <v>-1.0815444287420825E-2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-0.38231726489651924</v>
      </c>
      <c r="R40" s="13">
        <f>'TUSD BE'!$R$40*'TUSD BE'!$R$58</f>
        <v>-6.53687359636001E-2</v>
      </c>
      <c r="S40" s="13">
        <f>'TUSD BE'!$R$40*'TUSD BE'!$S$58</f>
        <v>0</v>
      </c>
      <c r="T40" s="13">
        <f ca="1">SUM($L$40:$S$40)</f>
        <v>-0.63877711652643643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2.5260482598538467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2.5260482598538467</v>
      </c>
      <c r="AC40" s="13">
        <f>'TUSD BE'!$AC$40*'TUSD BE'!$AC$58</f>
        <v>-88.095924053974926</v>
      </c>
      <c r="AD40" s="13">
        <f>SUM($AC$40:$AC$40)</f>
        <v>-88.095924053974926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-0.65599032523955914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-0.65599032523955914</v>
      </c>
      <c r="AM40" s="13">
        <f ca="1">SUMIF($L$4:$AL$4,"SUBTOTAL",$L$40:$AL$40)</f>
        <v>-86.864643235887073</v>
      </c>
      <c r="AO40" s="20">
        <f ca="1">+'TUSD BE'!$T$40+'TUSD BE'!$AB$40+'TUSD BE'!$AD$40+'TUSD BE'!$AL$40</f>
        <v>450.71922747153229</v>
      </c>
      <c r="AP40" s="20">
        <f ca="1">+'TUSD BE'!$T$40+'TUSD BE'!$AB$40+'TUSD BE'!$AD$40+'TUSD BE'!$AL$40</f>
        <v>450.71922747153229</v>
      </c>
    </row>
    <row r="41" spans="1:42" ht="11.25" customHeight="1" x14ac:dyDescent="0.3">
      <c r="A41" s="96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'TUSD BE'!$L$41*'TUSD BE'!$L$58</f>
        <v>-0.18027567137889636</v>
      </c>
      <c r="M41" s="13">
        <f>'TUSD BE'!$M$41*'TUSD BE'!$M$58</f>
        <v>-1.0815444287420825E-2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-0.38231726489651924</v>
      </c>
      <c r="R41" s="13">
        <f>'TUSD BE'!$R$41*'TUSD BE'!$R$58</f>
        <v>-6.53687359636001E-2</v>
      </c>
      <c r="S41" s="13">
        <f>'TUSD BE'!$R$41*'TUSD BE'!$S$58</f>
        <v>0</v>
      </c>
      <c r="T41" s="13">
        <f ca="1">SUM($L$41:$S$41)</f>
        <v>-0.63877711652643643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4.0740360058676588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4.0740360058676588</v>
      </c>
      <c r="AC41" s="13">
        <f>'TUSD BE'!$AC$41*'TUSD BE'!$AC$58</f>
        <v>-142.09022438933528</v>
      </c>
      <c r="AD41" s="13">
        <f>SUM($AC$41:$AC$41)</f>
        <v>-142.09022438933528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-0.65599032523955914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-0.65599032523955914</v>
      </c>
      <c r="AM41" s="13">
        <f ca="1">SUMIF($L$4:$AL$4,"SUBTOTAL",$L$41:$AL$41)</f>
        <v>-139.31095582523363</v>
      </c>
      <c r="AO41" s="20">
        <f ca="1">+'TUSD BE'!$T$41+'TUSD BE'!$AB$41+'TUSD BE'!$AD$41+'TUSD BE'!$AL$41</f>
        <v>624.60320946316176</v>
      </c>
      <c r="AP41" s="20">
        <f ca="1">+'TUSD BE'!$T$41+'TUSD BE'!$AB$41+'TUSD BE'!$AD$41+'TUSD BE'!$AL$41</f>
        <v>624.60320946316176</v>
      </c>
    </row>
    <row r="42" spans="1:42" ht="11.25" customHeight="1" x14ac:dyDescent="0.3">
      <c r="A42" s="96"/>
      <c r="B42" s="96" t="s">
        <v>84</v>
      </c>
      <c r="C42" s="96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'TUSD BE'!$L$42*'TUSD BE'!$L$58</f>
        <v>-0.18027567137889636</v>
      </c>
      <c r="M42" s="13">
        <f>'TUSD BE'!$M$42*'TUSD BE'!$M$58</f>
        <v>-1.0815444287420825E-2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-0.38231726489651924</v>
      </c>
      <c r="R42" s="13">
        <f>'TUSD BE'!$R$42*'TUSD BE'!$R$58</f>
        <v>-6.53687359636001E-2</v>
      </c>
      <c r="S42" s="13">
        <f>'TUSD BE'!$R$42*'TUSD BE'!$S$58</f>
        <v>0</v>
      </c>
      <c r="T42" s="13">
        <f ca="1">SUM($L$42:$S$42)</f>
        <v>-0.63877711652643643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4.0740360058676588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4.0740360058676588</v>
      </c>
      <c r="AC42" s="13">
        <f>'TUSD BE'!$AC$42*'TUSD BE'!$AC$58</f>
        <v>-142.09022438933528</v>
      </c>
      <c r="AD42" s="13">
        <f>SUM($AC$42:$AC$42)</f>
        <v>-142.09022438933528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-0.65599032523955914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-0.65599032523955914</v>
      </c>
      <c r="AM42" s="13">
        <f ca="1">SUMIF($L$4:$AL$4,"SUBTOTAL",$L$42:$AL$42)</f>
        <v>-139.31095582523363</v>
      </c>
      <c r="AO42" s="20">
        <f ca="1">+'TUSD BE'!$T$42+'TUSD BE'!$AB$42+'TUSD BE'!$AD$42+'TUSD BE'!$AL$42</f>
        <v>624.60320946316176</v>
      </c>
      <c r="AP42" s="20">
        <f ca="1">+'TUSD BE'!$T$42+'TUSD BE'!$AB$42+'TUSD BE'!$AD$42+'TUSD BE'!$AL$42</f>
        <v>624.60320946316176</v>
      </c>
    </row>
    <row r="43" spans="1:42" ht="11.25" customHeight="1" x14ac:dyDescent="0.3">
      <c r="A43" s="96"/>
      <c r="B43" s="96"/>
      <c r="C43" s="96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'TUSD BE'!$L$43*'TUSD BE'!$L$58</f>
        <v>-0.18027567137889636</v>
      </c>
      <c r="M43" s="13">
        <f>'TUSD BE'!$M$43*'TUSD BE'!$M$58</f>
        <v>-1.0815444287420825E-2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-0.38231726489651924</v>
      </c>
      <c r="R43" s="13">
        <f>'TUSD BE'!$R$43*'TUSD BE'!$R$58</f>
        <v>-6.53687359636001E-2</v>
      </c>
      <c r="S43" s="13">
        <f>'TUSD BE'!$R$43*'TUSD BE'!$S$58</f>
        <v>0</v>
      </c>
      <c r="T43" s="13">
        <f ca="1">SUM($L$43:$S$43)</f>
        <v>-0.63877711652643643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4.0740360058676588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4.0740360058676588</v>
      </c>
      <c r="AC43" s="13">
        <f>'TUSD BE'!$AC$43*'TUSD BE'!$AC$58</f>
        <v>-142.09022438933528</v>
      </c>
      <c r="AD43" s="13">
        <f>SUM($AC$43:$AC$43)</f>
        <v>-142.09022438933528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-0.65599032523955914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-0.65599032523955914</v>
      </c>
      <c r="AM43" s="13">
        <f ca="1">SUMIF($L$4:$AL$4,"SUBTOTAL",$L$43:$AL$43)</f>
        <v>-139.31095582523363</v>
      </c>
      <c r="AO43" s="20">
        <f ca="1">+'TUSD BE'!$T$43+'TUSD BE'!$AB$43+'TUSD BE'!$AD$43+'TUSD BE'!$AL$43</f>
        <v>624.60320946316176</v>
      </c>
      <c r="AP43" s="20">
        <f ca="1">+'TUSD BE'!$T$43+'TUSD BE'!$AB$43+'TUSD BE'!$AD$43+'TUSD BE'!$AL$43</f>
        <v>624.60320946316176</v>
      </c>
    </row>
    <row r="44" spans="1:42" ht="11.25" customHeight="1" x14ac:dyDescent="0.3">
      <c r="A44" s="96"/>
      <c r="B44" s="96"/>
      <c r="C44" s="96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'TUSD BE'!$L$44*'TUSD BE'!$L$58</f>
        <v>-0.18027567137889636</v>
      </c>
      <c r="M44" s="13">
        <f>'TUSD BE'!$M$44*'TUSD BE'!$M$58</f>
        <v>-1.0815444287420825E-2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-0.38231726489651924</v>
      </c>
      <c r="R44" s="13">
        <f>'TUSD BE'!$R$44*'TUSD BE'!$R$58</f>
        <v>-6.53687359636001E-2</v>
      </c>
      <c r="S44" s="13">
        <f>'TUSD BE'!$R$44*'TUSD BE'!$S$58</f>
        <v>0</v>
      </c>
      <c r="T44" s="13">
        <f ca="1">SUM($L$44:$S$44)</f>
        <v>-0.63877711652643643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4.0740360058676588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4.0740360058676588</v>
      </c>
      <c r="AC44" s="13">
        <f>'TUSD BE'!$AC$44*'TUSD BE'!$AC$58</f>
        <v>-142.09022438933528</v>
      </c>
      <c r="AD44" s="13">
        <f>SUM($AC$44:$AC$44)</f>
        <v>-142.09022438933528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-0.65599032523955914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-0.65599032523955914</v>
      </c>
      <c r="AM44" s="13">
        <f ca="1">SUMIF($L$4:$AL$4,"SUBTOTAL",$L$44:$AL$44)</f>
        <v>-139.31095582523363</v>
      </c>
      <c r="AO44" s="20">
        <f ca="1">+'TUSD BE'!$T$44+'TUSD BE'!$AB$44+'TUSD BE'!$AD$44+'TUSD BE'!$AL$44</f>
        <v>624.60320946316176</v>
      </c>
      <c r="AP44" s="20">
        <f ca="1">+'TUSD BE'!$T$44+'TUSD BE'!$AB$44+'TUSD BE'!$AD$44+'TUSD BE'!$AL$44</f>
        <v>624.60320946316176</v>
      </c>
    </row>
    <row r="45" spans="1:42" ht="11.25" customHeight="1" x14ac:dyDescent="0.3">
      <c r="A45" s="96" t="s">
        <v>36</v>
      </c>
      <c r="B45" s="96" t="s">
        <v>33</v>
      </c>
      <c r="C45" s="96" t="s">
        <v>25</v>
      </c>
      <c r="D45" s="96" t="s">
        <v>25</v>
      </c>
      <c r="E45" s="96" t="s">
        <v>25</v>
      </c>
      <c r="F45" s="96" t="s">
        <v>25</v>
      </c>
      <c r="G45" s="18" t="s">
        <v>69</v>
      </c>
      <c r="H45" s="18" t="s">
        <v>68</v>
      </c>
      <c r="I45" s="18">
        <f>'MERCADO TUSD'!$U$42</f>
        <v>0</v>
      </c>
      <c r="J45" s="15"/>
      <c r="L45" s="13">
        <f>'TUSD BE'!$L$45*'TUSD BE'!$L$58</f>
        <v>-0.18027567137889636</v>
      </c>
      <c r="M45" s="13">
        <f>'TUSD BE'!$M$45*'TUSD BE'!$M$58</f>
        <v>-1.0815444287420825E-2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-0.38231726489651924</v>
      </c>
      <c r="R45" s="13">
        <f>'TUSD BE'!$R$45*'TUSD BE'!$R$58</f>
        <v>-6.53687359636001E-2</v>
      </c>
      <c r="S45" s="13">
        <f>'TUSD BE'!$R$45*'TUSD BE'!$S$58</f>
        <v>0</v>
      </c>
      <c r="T45" s="13">
        <f ca="1">SUM($L$45:$S$45)</f>
        <v>-0.63877711652643643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13.037269003542322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13.037269003542322</v>
      </c>
      <c r="AC45" s="13">
        <f>'TUSD BE'!$AC$45*'TUSD BE'!$AC$58</f>
        <v>-454.68875571440537</v>
      </c>
      <c r="AD45" s="13">
        <f>SUM($AC$45:$AC$45)</f>
        <v>-454.68875571440537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-0.65599032523955914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-0.65599032523955914</v>
      </c>
      <c r="AM45" s="13">
        <f ca="1">SUMIF($L$4:$AL$4,"SUBTOTAL",$L$45:$AL$45)</f>
        <v>-442.94625415262902</v>
      </c>
      <c r="AO45" s="20">
        <f ca="1">+'TUSD BE'!$T$45+'TUSD BE'!$AB$45+'TUSD BE'!$AD$45+'TUSD BE'!$AL$45</f>
        <v>1631.3346952390611</v>
      </c>
      <c r="AP45" s="20">
        <f ca="1">+'TUSD BE'!$T$45+'TUSD BE'!$AB$45+'TUSD BE'!$AD$45+'TUSD BE'!$AL$45</f>
        <v>1631.3346952390611</v>
      </c>
    </row>
    <row r="46" spans="1:42" ht="11.25" customHeight="1" x14ac:dyDescent="0.3">
      <c r="A46" s="96"/>
      <c r="B46" s="96"/>
      <c r="C46" s="96"/>
      <c r="D46" s="96"/>
      <c r="E46" s="96"/>
      <c r="F46" s="96"/>
      <c r="G46" s="18" t="s">
        <v>82</v>
      </c>
      <c r="H46" s="18" t="s">
        <v>68</v>
      </c>
      <c r="I46" s="18">
        <f>'MERCADO TUSD'!$U$43</f>
        <v>0</v>
      </c>
      <c r="J46" s="15"/>
      <c r="L46" s="13">
        <f>'TUSD BE'!$L$46*'TUSD BE'!$L$58</f>
        <v>-0.18027567137889636</v>
      </c>
      <c r="M46" s="13">
        <f>'TUSD BE'!$M$46*'TUSD BE'!$M$58</f>
        <v>-1.0815444287420825E-2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-0.38231726489651924</v>
      </c>
      <c r="R46" s="13">
        <f>'TUSD BE'!$R$46*'TUSD BE'!$R$58</f>
        <v>-6.53687359636001E-2</v>
      </c>
      <c r="S46" s="13">
        <f>'TUSD BE'!$R$46*'TUSD BE'!$S$58</f>
        <v>0</v>
      </c>
      <c r="T46" s="13">
        <f ca="1">SUM($L$46:$S$46)</f>
        <v>-0.63877711652643643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7.8224940714125735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7.8224940714125735</v>
      </c>
      <c r="AC46" s="13">
        <f>'TUSD BE'!$AC$46*'TUSD BE'!$AC$58</f>
        <v>-272.81317809157844</v>
      </c>
      <c r="AD46" s="13">
        <f>SUM($AC$46:$AC$46)</f>
        <v>-272.81317809157844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-0.65599032523955914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-0.65599032523955914</v>
      </c>
      <c r="AM46" s="13">
        <f ca="1">SUMIF($L$4:$AL$4,"SUBTOTAL",$L$46:$AL$46)</f>
        <v>-266.28545146193181</v>
      </c>
      <c r="AO46" s="20">
        <f ca="1">+'TUSD BE'!$T$46+'TUSD BE'!$AB$46+'TUSD BE'!$AD$46+'TUSD BE'!$AL$46</f>
        <v>1045.6055791578071</v>
      </c>
      <c r="AP46" s="20">
        <f ca="1">+'TUSD BE'!$T$46+'TUSD BE'!$AB$46+'TUSD BE'!$AD$46+'TUSD BE'!$AL$46</f>
        <v>1045.6055791578071</v>
      </c>
    </row>
    <row r="47" spans="1:42" ht="11.25" customHeight="1" x14ac:dyDescent="0.3">
      <c r="A47" s="96"/>
      <c r="B47" s="96"/>
      <c r="C47" s="96"/>
      <c r="D47" s="96"/>
      <c r="E47" s="96"/>
      <c r="F47" s="96"/>
      <c r="G47" s="18" t="s">
        <v>70</v>
      </c>
      <c r="H47" s="18" t="s">
        <v>68</v>
      </c>
      <c r="I47" s="18">
        <f>'MERCADO TUSD'!$U$44</f>
        <v>0</v>
      </c>
      <c r="J47" s="15"/>
      <c r="L47" s="13">
        <f>'TUSD BE'!$L$47*'TUSD BE'!$L$58</f>
        <v>-0.18027567137889636</v>
      </c>
      <c r="M47" s="13">
        <f>'TUSD BE'!$M$47*'TUSD BE'!$M$58</f>
        <v>-1.0815444287420825E-2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-0.38231726489651924</v>
      </c>
      <c r="R47" s="13">
        <f>'TUSD BE'!$R$47*'TUSD BE'!$R$58</f>
        <v>-6.53687359636001E-2</v>
      </c>
      <c r="S47" s="13">
        <f>'TUSD BE'!$R$47*'TUSD BE'!$S$58</f>
        <v>0</v>
      </c>
      <c r="T47" s="13">
        <f ca="1">SUM($L$47:$S$47)</f>
        <v>-0.63877711652643643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2.6074980238041912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2.6074980238041912</v>
      </c>
      <c r="AC47" s="13">
        <f>'TUSD BE'!$AC$47*'TUSD BE'!$AC$58</f>
        <v>-90.937751142881055</v>
      </c>
      <c r="AD47" s="13">
        <f>SUM($AC$47:$AC$47)</f>
        <v>-90.937751142881055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-0.65599032523955914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-0.65599032523955914</v>
      </c>
      <c r="AM47" s="13">
        <f ca="1">SUMIF($L$4:$AL$4,"SUBTOTAL",$L$47:$AL$47)</f>
        <v>-89.625020560842856</v>
      </c>
      <c r="AO47" s="20">
        <f ca="1">+'TUSD BE'!$T$47+'TUSD BE'!$AB$47+'TUSD BE'!$AD$47+'TUSD BE'!$AL$47</f>
        <v>459.87039102855164</v>
      </c>
      <c r="AP47" s="20">
        <f ca="1">+'TUSD BE'!$T$47+'TUSD BE'!$AB$47+'TUSD BE'!$AD$47+'TUSD BE'!$AL$47</f>
        <v>459.87039102855164</v>
      </c>
    </row>
    <row r="48" spans="1:42" ht="11.25" customHeight="1" x14ac:dyDescent="0.3">
      <c r="A48" s="96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643.45600000000002</v>
      </c>
      <c r="J48" s="15"/>
      <c r="L48" s="13">
        <f>'TUSD BE'!$L$48*'TUSD BE'!$L$58</f>
        <v>-0.18027567137889636</v>
      </c>
      <c r="M48" s="13">
        <f>'TUSD BE'!$M$48*'TUSD BE'!$M$58</f>
        <v>-1.0815444287420825E-2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-0.38231726489651924</v>
      </c>
      <c r="R48" s="13">
        <f>'TUSD BE'!$R$48*'TUSD BE'!$R$58</f>
        <v>-6.53687359636001E-2</v>
      </c>
      <c r="S48" s="13">
        <f>'TUSD BE'!$R$48*'TUSD BE'!$S$58</f>
        <v>0</v>
      </c>
      <c r="T48" s="13">
        <f ca="1">SUM($L$48:$S$48)</f>
        <v>-0.63877711652643643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4.0740360058676588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4.0740360058676588</v>
      </c>
      <c r="AC48" s="13">
        <f>'TUSD BE'!$AC$48*'TUSD BE'!$AC$58</f>
        <v>-142.09022438933528</v>
      </c>
      <c r="AD48" s="13">
        <f>SUM($AC$48:$AC$48)</f>
        <v>-142.09022438933528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-0.65599032523955914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-0.65599032523955914</v>
      </c>
      <c r="AM48" s="13">
        <f ca="1">SUMIF($L$4:$AL$4,"SUBTOTAL",$L$48:$AL$48)</f>
        <v>-139.31095582523363</v>
      </c>
      <c r="AO48" s="20">
        <f ca="1">+'TUSD BE'!$T$48+'TUSD BE'!$AB$48+'TUSD BE'!$AD$48+'TUSD BE'!$AL$48</f>
        <v>624.60320946316176</v>
      </c>
      <c r="AP48" s="20">
        <f ca="1">+'TUSD BE'!$T$48+'TUSD BE'!$AB$48+'TUSD BE'!$AD$48+'TUSD BE'!$AL$48</f>
        <v>624.60320946316176</v>
      </c>
    </row>
    <row r="49" spans="1:42" ht="11.25" customHeight="1" x14ac:dyDescent="0.3">
      <c r="A49" s="96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'TUSD BE'!$L$49*'TUSD BE'!$L$58</f>
        <v>-0.18027567137889636</v>
      </c>
      <c r="M49" s="13">
        <f>'TUSD BE'!$M$49*'TUSD BE'!$M$58</f>
        <v>-1.0815444287420825E-2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-0.38231726489651924</v>
      </c>
      <c r="R49" s="13">
        <f>'TUSD BE'!$R$49*'TUSD BE'!$R$58</f>
        <v>-6.53687359636001E-2</v>
      </c>
      <c r="S49" s="13">
        <f>'TUSD BE'!$R$49*'TUSD BE'!$S$58</f>
        <v>0</v>
      </c>
      <c r="T49" s="13">
        <f ca="1">SUM($L$49:$S$49)</f>
        <v>-0.63877711652643643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4.0740360058676588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4.0740360058676588</v>
      </c>
      <c r="AC49" s="13">
        <f>'TUSD BE'!$AC$49*'TUSD BE'!$AC$58</f>
        <v>-142.09022438933528</v>
      </c>
      <c r="AD49" s="13">
        <f>SUM($AC$49:$AC$49)</f>
        <v>-142.09022438933528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-0.65599032523955914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-0.65599032523955914</v>
      </c>
      <c r="AM49" s="13">
        <f ca="1">SUMIF($L$4:$AL$4,"SUBTOTAL",$L$49:$AL$49)</f>
        <v>-139.31095582523363</v>
      </c>
      <c r="AO49" s="20">
        <f ca="1">+'TUSD BE'!$T$49+'TUSD BE'!$AB$49+'TUSD BE'!$AD$49+'TUSD BE'!$AL$49</f>
        <v>624.60320946316176</v>
      </c>
      <c r="AP49" s="20">
        <f ca="1">+'TUSD BE'!$T$49+'TUSD BE'!$AB$49+'TUSD BE'!$AD$49+'TUSD BE'!$AL$49</f>
        <v>624.60320946316176</v>
      </c>
    </row>
    <row r="50" spans="1:42" ht="11.25" customHeight="1" x14ac:dyDescent="0.3">
      <c r="A50" s="96" t="s">
        <v>44</v>
      </c>
      <c r="B50" s="96" t="s">
        <v>23</v>
      </c>
      <c r="C50" s="96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546.72599999999989</v>
      </c>
      <c r="J50" s="15"/>
      <c r="L50" s="13">
        <f>'TUSD BE'!$L$50*'TUSD BE'!$L$58</f>
        <v>-9.9151619258392984E-2</v>
      </c>
      <c r="M50" s="13">
        <f>'TUSD BE'!$M$50*'TUSD BE'!$M$58</f>
        <v>-5.9484943580814546E-3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-0.21027449569308557</v>
      </c>
      <c r="R50" s="13">
        <f>'TUSD BE'!$R$50*'TUSD BE'!$R$58</f>
        <v>-3.5952804779980065E-2</v>
      </c>
      <c r="S50" s="13">
        <f>'TUSD BE'!$R$50*'TUSD BE'!$S$58</f>
        <v>0</v>
      </c>
      <c r="T50" s="13">
        <f ca="1">SUM($L$50:$S$50)</f>
        <v>-0.3513274140895401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2.2407198032272122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2.2407198032272122</v>
      </c>
      <c r="AC50" s="13">
        <f>'TUSD BE'!$AC$50*'TUSD BE'!$AC$58</f>
        <v>-78.14962341413441</v>
      </c>
      <c r="AD50" s="13">
        <f>SUM($AC$50:$AC$50)</f>
        <v>-78.14962341413441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-0.36079467888175759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-0.36079467888175759</v>
      </c>
      <c r="AM50" s="13">
        <f ca="1">SUMIF($L$4:$AL$4,"SUBTOTAL",$L$50:$AL$50)</f>
        <v>-76.621025703878502</v>
      </c>
      <c r="AO50" s="20">
        <f ca="1">+'TUSD BE'!$T$50+'TUSD BE'!$AB$50+'TUSD BE'!$AD$50+'TUSD BE'!$AL$50</f>
        <v>343.53176520473897</v>
      </c>
      <c r="AP50" s="20">
        <f ca="1">+'TUSD BE'!$T$50+'TUSD BE'!$AB$50+'TUSD BE'!$AD$50+'TUSD BE'!$AL$50</f>
        <v>343.53176520473897</v>
      </c>
    </row>
    <row r="51" spans="1:42" ht="11.25" customHeight="1" x14ac:dyDescent="0.3">
      <c r="A51" s="96"/>
      <c r="B51" s="96"/>
      <c r="C51" s="96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'TUSD BE'!$L$51*'TUSD BE'!$L$58</f>
        <v>-0.1081654028273378</v>
      </c>
      <c r="M51" s="13">
        <f>'TUSD BE'!$M$51*'TUSD BE'!$M$58</f>
        <v>-6.4892665724524947E-3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-0.22939035893791154</v>
      </c>
      <c r="R51" s="13">
        <f>'TUSD BE'!$R$51*'TUSD BE'!$R$58</f>
        <v>-3.9221241578160058E-2</v>
      </c>
      <c r="S51" s="13">
        <f>'TUSD BE'!$R$51*'TUSD BE'!$S$58</f>
        <v>0</v>
      </c>
      <c r="T51" s="13">
        <f ca="1">SUM($L$51:$S$51)</f>
        <v>-0.38326626991586188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2.444421603520595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2.444421603520595</v>
      </c>
      <c r="AC51" s="13">
        <f>'TUSD BE'!$AC$51*'TUSD BE'!$AC$58</f>
        <v>-85.254134633601169</v>
      </c>
      <c r="AD51" s="13">
        <f>SUM($AC$51:$AC$51)</f>
        <v>-85.254134633601169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-0.39359419514373545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-0.39359419514373545</v>
      </c>
      <c r="AM51" s="13">
        <f ca="1">SUMIF($L$4:$AL$4,"SUBTOTAL",$L$51:$AL$51)</f>
        <v>-83.586573495140172</v>
      </c>
      <c r="AO51" s="20">
        <f ca="1">+'TUSD BE'!$T$51+'TUSD BE'!$AB$51+'TUSD BE'!$AD$51+'TUSD BE'!$AL$51</f>
        <v>374.76192567789701</v>
      </c>
      <c r="AP51" s="20">
        <f ca="1">+'TUSD BE'!$T$51+'TUSD BE'!$AB$51+'TUSD BE'!$AD$51+'TUSD BE'!$AL$51</f>
        <v>374.76192567789701</v>
      </c>
    </row>
    <row r="53" spans="1:42" ht="11.25" customHeight="1" x14ac:dyDescent="0.3">
      <c r="K53" s="16" t="s">
        <v>505</v>
      </c>
      <c r="L53" s="13">
        <f>SUMPRODUCT($I$5:$I51,$L$5:$L51)</f>
        <v>-3474.3701633924175</v>
      </c>
      <c r="M53" s="13">
        <f>SUMPRODUCT($I$5:$I51,$M$5:$M51)</f>
        <v>-230.23633007930752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-7368.2249409820124</v>
      </c>
      <c r="R53" s="13">
        <f>SUMPRODUCT($I$5:$I51,$R$5:$R51)</f>
        <v>-1404.9905913531625</v>
      </c>
      <c r="S53" s="13">
        <f>SUMPRODUCT($I$5:$I51,$S$5:$S51)</f>
        <v>0</v>
      </c>
      <c r="T53" s="13">
        <f ca="1">SUMPRODUCT($I$5:$I51,$T$5:$T51)</f>
        <v>-12477.822025806898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85009.576954378659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85009.576954378659</v>
      </c>
      <c r="AC53" s="13">
        <f>SUMPRODUCT($I$5:$I51,$AC$5:$AC51)</f>
        <v>-3024752.7960253092</v>
      </c>
      <c r="AD53" s="13">
        <f>SUMPRODUCT($I$5:$I51,$AD$5:$AD51)</f>
        <v>-3024752.7960253092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-8369.2053270178876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-8369.2053270178876</v>
      </c>
      <c r="AM53" s="13">
        <f ca="1">SUMPRODUCT($I$5:$I51,$AM$5:$AM51)</f>
        <v>-2960590.2464237558</v>
      </c>
      <c r="AO53" s="18">
        <f ca="1">SUMPRODUCT($I$5:$I51,$AO$5:$AO51)</f>
        <v>12739219.747039415</v>
      </c>
      <c r="AP53" s="18">
        <f ca="1">SUMPRODUCT($I$5:$I51,$AP$5:$AP51)</f>
        <v>12739219.747039415</v>
      </c>
    </row>
    <row r="54" spans="1:42" ht="11.25" customHeight="1" x14ac:dyDescent="0.3">
      <c r="K54" s="16" t="s">
        <v>437</v>
      </c>
      <c r="L54" s="13">
        <f>'TR TUSD'!$L$56</f>
        <v>561638.5612703464</v>
      </c>
      <c r="M54" s="13">
        <f>'TR TUSD'!$M$56</f>
        <v>32726.000289716503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1744067.2510800003</v>
      </c>
      <c r="R54" s="13">
        <f>'TR TUSD'!$R$56</f>
        <v>307176.84594000003</v>
      </c>
      <c r="S54" s="13">
        <f>'TR TUSD'!$S$56</f>
        <v>0</v>
      </c>
      <c r="T54" s="13">
        <f>'TR TUSD'!$T$56</f>
        <v>2645608.6585800634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2472691.1461900002</v>
      </c>
      <c r="Z54" s="13">
        <f>'TR TUSD'!$Z$56</f>
        <v>0</v>
      </c>
      <c r="AA54" s="13">
        <f>'TR TUSD'!$AA$56</f>
        <v>0</v>
      </c>
      <c r="AB54" s="13">
        <f>'TR TUSD'!$AB$56</f>
        <v>2472691.1461900002</v>
      </c>
      <c r="AC54" s="13">
        <f>'TR TUSD'!$AC$56</f>
        <v>7218569.4400000004</v>
      </c>
      <c r="AD54" s="13">
        <f>'TR TUSD'!$AD$56</f>
        <v>7218569.4400000004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402350.50226934697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402350.50226934697</v>
      </c>
      <c r="AM54" s="13">
        <f>'TUSD BE'!$AM$54</f>
        <v>12739219.747039411</v>
      </c>
      <c r="AO54" s="18">
        <f>$AE$55</f>
        <v>0</v>
      </c>
      <c r="AP54" s="18">
        <f>$AF$55</f>
        <v>0</v>
      </c>
    </row>
    <row r="55" spans="1:42" ht="11.25" customHeight="1" x14ac:dyDescent="0.3">
      <c r="K55" s="16" t="s">
        <v>438</v>
      </c>
      <c r="L55" s="13">
        <f>CUSTOS!$E$2</f>
        <v>-3474.370163392417</v>
      </c>
      <c r="M55" s="13">
        <f>CUSTOS!$E$3</f>
        <v>-230.23633007930752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-7368.2249409820133</v>
      </c>
      <c r="R55" s="13">
        <f>CUSTOS!$E$8</f>
        <v>-1404.9905913531622</v>
      </c>
      <c r="S55" s="13">
        <f>CUSTOS!$E$9</f>
        <v>0</v>
      </c>
      <c r="T55" s="13">
        <f>CUSTOS!$E$10</f>
        <v>-12477.8220258069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85009.576954378659</v>
      </c>
      <c r="Z55" s="13">
        <f>CUSTOS!$E$16</f>
        <v>0</v>
      </c>
      <c r="AA55" s="13">
        <f>CUSTOS!$E$17</f>
        <v>0</v>
      </c>
      <c r="AB55" s="13">
        <f>CUSTOS!$E$18</f>
        <v>85009.576954378659</v>
      </c>
      <c r="AC55" s="13">
        <f>CUSTOS!$E$19</f>
        <v>-3024752.7960253092</v>
      </c>
      <c r="AD55" s="13">
        <f>CUSTOS!$E$20</f>
        <v>-3024752.7960253092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-8369.2053270178876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-8369.2053270178876</v>
      </c>
      <c r="AM55" s="13">
        <f>CUSTOS!$E$29</f>
        <v>-2960590.2464237553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439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502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3">
      <c r="K58" s="16" t="s">
        <v>514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60" priority="55" operator="notEqual">
      <formula>$L$55</formula>
    </cfRule>
    <cfRule type="cellIs" dxfId="759" priority="56" operator="equal">
      <formula>$L$55</formula>
    </cfRule>
  </conditionalFormatting>
  <conditionalFormatting sqref="M53">
    <cfRule type="cellIs" dxfId="758" priority="53" operator="notEqual">
      <formula>$M$55</formula>
    </cfRule>
    <cfRule type="cellIs" dxfId="757" priority="54" operator="equal">
      <formula>$M$55</formula>
    </cfRule>
  </conditionalFormatting>
  <conditionalFormatting sqref="N53">
    <cfRule type="cellIs" dxfId="756" priority="51" operator="notEqual">
      <formula>$N$55</formula>
    </cfRule>
    <cfRule type="cellIs" dxfId="755" priority="52" operator="equal">
      <formula>$N$55</formula>
    </cfRule>
  </conditionalFormatting>
  <conditionalFormatting sqref="O53">
    <cfRule type="cellIs" dxfId="754" priority="49" operator="notEqual">
      <formula>$O$55</formula>
    </cfRule>
    <cfRule type="cellIs" dxfId="753" priority="50" operator="equal">
      <formula>$O$55</formula>
    </cfRule>
  </conditionalFormatting>
  <conditionalFormatting sqref="P53">
    <cfRule type="cellIs" dxfId="752" priority="47" operator="notEqual">
      <formula>$P$55</formula>
    </cfRule>
    <cfRule type="cellIs" dxfId="751" priority="48" operator="equal">
      <formula>$P$55</formula>
    </cfRule>
  </conditionalFormatting>
  <conditionalFormatting sqref="Q53">
    <cfRule type="cellIs" dxfId="750" priority="45" operator="notEqual">
      <formula>$Q$55</formula>
    </cfRule>
    <cfRule type="cellIs" dxfId="749" priority="46" operator="equal">
      <formula>$Q$55</formula>
    </cfRule>
  </conditionalFormatting>
  <conditionalFormatting sqref="R53">
    <cfRule type="cellIs" dxfId="748" priority="43" operator="notEqual">
      <formula>$R$55</formula>
    </cfRule>
    <cfRule type="cellIs" dxfId="747" priority="44" operator="equal">
      <formula>$R$55</formula>
    </cfRule>
  </conditionalFormatting>
  <conditionalFormatting sqref="S53">
    <cfRule type="cellIs" dxfId="746" priority="41" operator="notEqual">
      <formula>$S$55</formula>
    </cfRule>
    <cfRule type="cellIs" dxfId="745" priority="42" operator="equal">
      <formula>$S$55</formula>
    </cfRule>
  </conditionalFormatting>
  <conditionalFormatting sqref="T53">
    <cfRule type="cellIs" dxfId="744" priority="39" operator="notEqual">
      <formula>$T$55</formula>
    </cfRule>
    <cfRule type="cellIs" dxfId="743" priority="40" operator="equal">
      <formula>$T$55</formula>
    </cfRule>
  </conditionalFormatting>
  <conditionalFormatting sqref="U53">
    <cfRule type="cellIs" dxfId="742" priority="37" operator="notEqual">
      <formula>$U$55</formula>
    </cfRule>
    <cfRule type="cellIs" dxfId="741" priority="38" operator="equal">
      <formula>$U$55</formula>
    </cfRule>
  </conditionalFormatting>
  <conditionalFormatting sqref="V53">
    <cfRule type="cellIs" dxfId="740" priority="35" operator="notEqual">
      <formula>$V$55</formula>
    </cfRule>
    <cfRule type="cellIs" dxfId="739" priority="36" operator="equal">
      <formula>$V$55</formula>
    </cfRule>
  </conditionalFormatting>
  <conditionalFormatting sqref="W53">
    <cfRule type="cellIs" dxfId="738" priority="33" operator="notEqual">
      <formula>$W$55</formula>
    </cfRule>
    <cfRule type="cellIs" dxfId="737" priority="34" operator="equal">
      <formula>$W$55</formula>
    </cfRule>
  </conditionalFormatting>
  <conditionalFormatting sqref="X53">
    <cfRule type="cellIs" dxfId="736" priority="31" operator="notEqual">
      <formula>$X$55</formula>
    </cfRule>
    <cfRule type="cellIs" dxfId="735" priority="32" operator="equal">
      <formula>$X$55</formula>
    </cfRule>
  </conditionalFormatting>
  <conditionalFormatting sqref="Y53">
    <cfRule type="cellIs" dxfId="734" priority="29" operator="notEqual">
      <formula>$Y$55</formula>
    </cfRule>
    <cfRule type="cellIs" dxfId="733" priority="30" operator="equal">
      <formula>$Y$55</formula>
    </cfRule>
  </conditionalFormatting>
  <conditionalFormatting sqref="Z53">
    <cfRule type="cellIs" dxfId="732" priority="27" operator="notEqual">
      <formula>$Z$55</formula>
    </cfRule>
    <cfRule type="cellIs" dxfId="731" priority="28" operator="equal">
      <formula>$Z$55</formula>
    </cfRule>
  </conditionalFormatting>
  <conditionalFormatting sqref="AA53">
    <cfRule type="cellIs" dxfId="730" priority="25" operator="notEqual">
      <formula>$AA$55</formula>
    </cfRule>
    <cfRule type="cellIs" dxfId="729" priority="26" operator="equal">
      <formula>$AA$55</formula>
    </cfRule>
  </conditionalFormatting>
  <conditionalFormatting sqref="AB53">
    <cfRule type="cellIs" dxfId="728" priority="23" operator="notEqual">
      <formula>$AB$55</formula>
    </cfRule>
    <cfRule type="cellIs" dxfId="727" priority="24" operator="equal">
      <formula>$AB$55</formula>
    </cfRule>
  </conditionalFormatting>
  <conditionalFormatting sqref="AC53">
    <cfRule type="cellIs" dxfId="726" priority="21" operator="notEqual">
      <formula>$AC$55</formula>
    </cfRule>
    <cfRule type="cellIs" dxfId="725" priority="22" operator="equal">
      <formula>$AC$55</formula>
    </cfRule>
  </conditionalFormatting>
  <conditionalFormatting sqref="AD53">
    <cfRule type="cellIs" dxfId="724" priority="19" operator="notEqual">
      <formula>$AD$55</formula>
    </cfRule>
    <cfRule type="cellIs" dxfId="723" priority="20" operator="equal">
      <formula>$AD$55</formula>
    </cfRule>
  </conditionalFormatting>
  <conditionalFormatting sqref="AE53">
    <cfRule type="cellIs" dxfId="722" priority="17" operator="notEqual">
      <formula>$AE$55</formula>
    </cfRule>
    <cfRule type="cellIs" dxfId="721" priority="18" operator="equal">
      <formula>$AE$55</formula>
    </cfRule>
  </conditionalFormatting>
  <conditionalFormatting sqref="AF53">
    <cfRule type="cellIs" dxfId="720" priority="16" operator="equal">
      <formula>$AF$55</formula>
    </cfRule>
  </conditionalFormatting>
  <conditionalFormatting sqref="AF53">
    <cfRule type="cellIs" dxfId="719" priority="15" operator="notEqual">
      <formula>$AF$55</formula>
    </cfRule>
  </conditionalFormatting>
  <conditionalFormatting sqref="AG53">
    <cfRule type="cellIs" dxfId="718" priority="14" operator="equal">
      <formula>$AG$55</formula>
    </cfRule>
  </conditionalFormatting>
  <conditionalFormatting sqref="AG53">
    <cfRule type="cellIs" dxfId="717" priority="13" operator="notEqual">
      <formula>$AG$55</formula>
    </cfRule>
  </conditionalFormatting>
  <conditionalFormatting sqref="AH53">
    <cfRule type="cellIs" dxfId="716" priority="12" operator="equal">
      <formula>$AH$55</formula>
    </cfRule>
  </conditionalFormatting>
  <conditionalFormatting sqref="AH53">
    <cfRule type="cellIs" dxfId="715" priority="11" operator="notEqual">
      <formula>$AH$55</formula>
    </cfRule>
  </conditionalFormatting>
  <conditionalFormatting sqref="AI53">
    <cfRule type="cellIs" dxfId="714" priority="10" operator="equal">
      <formula>$AI$55</formula>
    </cfRule>
  </conditionalFormatting>
  <conditionalFormatting sqref="AI53">
    <cfRule type="cellIs" dxfId="713" priority="9" operator="notEqual">
      <formula>$AI$55</formula>
    </cfRule>
  </conditionalFormatting>
  <conditionalFormatting sqref="AJ53">
    <cfRule type="cellIs" dxfId="712" priority="8" operator="equal">
      <formula>$AJ$55</formula>
    </cfRule>
  </conditionalFormatting>
  <conditionalFormatting sqref="AJ53">
    <cfRule type="cellIs" dxfId="711" priority="7" operator="notEqual">
      <formula>$AJ$55</formula>
    </cfRule>
  </conditionalFormatting>
  <conditionalFormatting sqref="AK53">
    <cfRule type="cellIs" dxfId="710" priority="6" operator="equal">
      <formula>$AK$55</formula>
    </cfRule>
  </conditionalFormatting>
  <conditionalFormatting sqref="AK53">
    <cfRule type="cellIs" dxfId="709" priority="5" operator="notEqual">
      <formula>$AK$55</formula>
    </cfRule>
  </conditionalFormatting>
  <conditionalFormatting sqref="AL53">
    <cfRule type="cellIs" dxfId="708" priority="4" operator="equal">
      <formula>$AL$55</formula>
    </cfRule>
  </conditionalFormatting>
  <conditionalFormatting sqref="AL53">
    <cfRule type="cellIs" dxfId="707" priority="3" operator="notEqual">
      <formula>$AL$55</formula>
    </cfRule>
  </conditionalFormatting>
  <conditionalFormatting sqref="AM53">
    <cfRule type="cellIs" dxfId="706" priority="2" operator="equal">
      <formula>$AM$55</formula>
    </cfRule>
  </conditionalFormatting>
  <conditionalFormatting sqref="AM53">
    <cfRule type="cellIs" dxfId="705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7092-1DBE-4414-91B0-BE11BCB7F863}">
  <dimension ref="A1:AP57"/>
  <sheetViews>
    <sheetView showGridLines="0" topLeftCell="AA35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7.6640625" style="9" bestFit="1" customWidth="1"/>
    <col min="10" max="10" width="8.88671875" style="9"/>
    <col min="11" max="11" width="14.109375" style="9" bestFit="1" customWidth="1"/>
    <col min="12" max="12" width="13" style="9" bestFit="1" customWidth="1"/>
    <col min="13" max="13" width="7.6640625" style="9" bestFit="1" customWidth="1"/>
    <col min="14" max="14" width="4" style="9" bestFit="1" customWidth="1"/>
    <col min="15" max="16" width="4.77734375" style="9" bestFit="1" customWidth="1"/>
    <col min="17" max="17" width="9.6640625" style="9" bestFit="1" customWidth="1"/>
    <col min="18" max="19" width="8.44140625" style="9" bestFit="1" customWidth="1"/>
    <col min="20" max="20" width="9.6640625" style="9" bestFit="1" customWidth="1"/>
    <col min="21" max="21" width="7.21875" style="9" bestFit="1" customWidth="1"/>
    <col min="22" max="22" width="7.109375" style="9" bestFit="1" customWidth="1"/>
    <col min="23" max="24" width="9.5546875" style="9" bestFit="1" customWidth="1"/>
    <col min="25" max="25" width="7.6640625" style="9" bestFit="1" customWidth="1"/>
    <col min="26" max="26" width="7.44140625" style="9" bestFit="1" customWidth="1"/>
    <col min="27" max="27" width="9.5546875" style="9" bestFit="1" customWidth="1"/>
    <col min="28" max="28" width="9.6640625" style="9" bestFit="1" customWidth="1"/>
    <col min="29" max="29" width="11.33203125" style="9" bestFit="1" customWidth="1"/>
    <col min="30" max="30" width="10.21875" style="9" bestFit="1" customWidth="1"/>
    <col min="31" max="31" width="7.77734375" style="9" bestFit="1" customWidth="1"/>
    <col min="32" max="32" width="7.109375" style="9" bestFit="1" customWidth="1"/>
    <col min="33" max="33" width="9" style="9" bestFit="1" customWidth="1"/>
    <col min="34" max="34" width="14.88671875" style="9" bestFit="1" customWidth="1"/>
    <col min="35" max="35" width="17.5546875" style="9" bestFit="1" customWidth="1"/>
    <col min="36" max="36" width="18.5546875" style="9" bestFit="1" customWidth="1"/>
    <col min="37" max="37" width="3.88671875" style="9" bestFit="1" customWidth="1"/>
    <col min="38" max="38" width="9" style="9" bestFit="1" customWidth="1"/>
    <col min="39" max="39" width="10.5546875" style="9" bestFit="1" customWidth="1"/>
    <col min="40" max="40" width="8.88671875" style="9"/>
    <col min="41" max="42" width="10.109375" style="9" bestFit="1" customWidth="1"/>
    <col min="43" max="16384" width="8.88671875" style="9"/>
  </cols>
  <sheetData>
    <row r="1" spans="1:42" ht="11.25" customHeight="1" x14ac:dyDescent="0.3">
      <c r="A1" s="97" t="s">
        <v>58</v>
      </c>
      <c r="B1" s="97" t="s">
        <v>59</v>
      </c>
      <c r="C1" s="97" t="s">
        <v>60</v>
      </c>
      <c r="D1" s="97" t="s">
        <v>61</v>
      </c>
      <c r="E1" s="97" t="s">
        <v>62</v>
      </c>
      <c r="F1" s="97" t="s">
        <v>15</v>
      </c>
      <c r="G1" s="97" t="s">
        <v>64</v>
      </c>
      <c r="H1" s="97" t="s">
        <v>65</v>
      </c>
      <c r="I1" s="97" t="s">
        <v>496</v>
      </c>
      <c r="J1" s="94"/>
      <c r="L1" s="98" t="s">
        <v>516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O1" s="20"/>
      <c r="AP1" s="101" t="s">
        <v>498</v>
      </c>
    </row>
    <row r="2" spans="1:42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94"/>
      <c r="L2" s="98" t="s">
        <v>395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O2" s="20"/>
      <c r="AP2" s="102"/>
    </row>
    <row r="3" spans="1:42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94"/>
      <c r="L3" s="98" t="s">
        <v>396</v>
      </c>
      <c r="M3" s="98"/>
      <c r="N3" s="98"/>
      <c r="O3" s="98"/>
      <c r="P3" s="98"/>
      <c r="Q3" s="98"/>
      <c r="R3" s="98"/>
      <c r="S3" s="98"/>
      <c r="T3" s="98"/>
      <c r="U3" s="98" t="s">
        <v>405</v>
      </c>
      <c r="V3" s="98"/>
      <c r="W3" s="98"/>
      <c r="X3" s="98"/>
      <c r="Y3" s="98"/>
      <c r="Z3" s="98"/>
      <c r="AA3" s="98"/>
      <c r="AB3" s="98"/>
      <c r="AC3" s="98" t="s">
        <v>413</v>
      </c>
      <c r="AD3" s="98"/>
      <c r="AE3" s="98" t="s">
        <v>415</v>
      </c>
      <c r="AF3" s="98"/>
      <c r="AG3" s="98"/>
      <c r="AH3" s="98" t="s">
        <v>418</v>
      </c>
      <c r="AI3" s="98"/>
      <c r="AJ3" s="98"/>
      <c r="AK3" s="98"/>
      <c r="AL3" s="98"/>
      <c r="AM3" s="98" t="s">
        <v>404</v>
      </c>
      <c r="AO3" s="20"/>
      <c r="AP3" s="102"/>
    </row>
    <row r="4" spans="1:42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94"/>
      <c r="L4" s="10" t="s">
        <v>481</v>
      </c>
      <c r="M4" s="10" t="s">
        <v>397</v>
      </c>
      <c r="N4" s="10" t="s">
        <v>398</v>
      </c>
      <c r="O4" s="10" t="s">
        <v>399</v>
      </c>
      <c r="P4" s="10" t="s">
        <v>400</v>
      </c>
      <c r="Q4" s="10" t="s">
        <v>401</v>
      </c>
      <c r="R4" s="10" t="s">
        <v>402</v>
      </c>
      <c r="S4" s="10" t="s">
        <v>403</v>
      </c>
      <c r="T4" s="10" t="s">
        <v>404</v>
      </c>
      <c r="U4" s="10" t="s">
        <v>406</v>
      </c>
      <c r="V4" s="10" t="s">
        <v>407</v>
      </c>
      <c r="W4" s="10" t="s">
        <v>408</v>
      </c>
      <c r="X4" s="10" t="s">
        <v>409</v>
      </c>
      <c r="Y4" s="10" t="s">
        <v>410</v>
      </c>
      <c r="Z4" s="10" t="s">
        <v>411</v>
      </c>
      <c r="AA4" s="10" t="s">
        <v>412</v>
      </c>
      <c r="AB4" s="10" t="s">
        <v>404</v>
      </c>
      <c r="AC4" s="10" t="s">
        <v>414</v>
      </c>
      <c r="AD4" s="10" t="s">
        <v>404</v>
      </c>
      <c r="AE4" s="10" t="s">
        <v>416</v>
      </c>
      <c r="AF4" s="10" t="s">
        <v>417</v>
      </c>
      <c r="AG4" s="10" t="s">
        <v>404</v>
      </c>
      <c r="AH4" s="10" t="s">
        <v>419</v>
      </c>
      <c r="AI4" s="10" t="s">
        <v>420</v>
      </c>
      <c r="AJ4" s="10" t="s">
        <v>421</v>
      </c>
      <c r="AK4" s="10" t="s">
        <v>422</v>
      </c>
      <c r="AL4" s="10" t="s">
        <v>404</v>
      </c>
      <c r="AM4" s="100"/>
      <c r="AO4" s="21" t="s">
        <v>515</v>
      </c>
      <c r="AP4" s="103"/>
    </row>
    <row r="5" spans="1:42" ht="11.25" customHeight="1" x14ac:dyDescent="0.3">
      <c r="A5" s="96" t="s">
        <v>38</v>
      </c>
      <c r="B5" s="96" t="s">
        <v>73</v>
      </c>
      <c r="C5" s="96" t="s">
        <v>25</v>
      </c>
      <c r="D5" s="96" t="s">
        <v>25</v>
      </c>
      <c r="E5" s="96" t="s">
        <v>25</v>
      </c>
      <c r="F5" s="96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146.92090771708305</v>
      </c>
      <c r="AP5" s="20">
        <f ca="1">+'TUSD BE'!$T$5+'TUSD BE'!$AB$5+'TUSD BE'!$AD$5+'TUSD BE'!$AL$5</f>
        <v>146.92090771708305</v>
      </c>
    </row>
    <row r="6" spans="1:42" ht="11.25" customHeight="1" x14ac:dyDescent="0.3">
      <c r="A6" s="96"/>
      <c r="B6" s="96"/>
      <c r="C6" s="96"/>
      <c r="D6" s="96"/>
      <c r="E6" s="96"/>
      <c r="F6" s="96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43.803410495697179</v>
      </c>
      <c r="AP6" s="20">
        <f ca="1">+'TUSD BE'!$T$6+'TUSD BE'!$AB$6+'TUSD BE'!$AD$6+'TUSD BE'!$AL$6</f>
        <v>43.803410495697179</v>
      </c>
    </row>
    <row r="7" spans="1:42" ht="11.25" customHeight="1" x14ac:dyDescent="0.3">
      <c r="A7" s="96"/>
      <c r="B7" s="96"/>
      <c r="C7" s="96"/>
      <c r="D7" s="96"/>
      <c r="E7" s="96"/>
      <c r="F7" s="96"/>
      <c r="G7" s="18" t="s">
        <v>72</v>
      </c>
      <c r="H7" s="18" t="s">
        <v>68</v>
      </c>
      <c r="I7" s="18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127.36112969025851</v>
      </c>
      <c r="AP7" s="20">
        <f ca="1">+'TUSD BE'!$T$7+'TUSD BE'!$AB$7+'TUSD BE'!$AD$7+'TUSD BE'!$AL$7</f>
        <v>127.36112969025851</v>
      </c>
    </row>
    <row r="8" spans="1:42" ht="11.25" customHeight="1" x14ac:dyDescent="0.3">
      <c r="A8" s="96"/>
      <c r="B8" s="96"/>
      <c r="C8" s="96"/>
      <c r="D8" s="96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12.574443706963578</v>
      </c>
      <c r="AP8" s="20">
        <f ca="1">+'TUSD BE'!$T$8+'TUSD BE'!$AB$8+'TUSD BE'!$AD$8+'TUSD BE'!$AL$8</f>
        <v>12.574443706963578</v>
      </c>
    </row>
    <row r="9" spans="1:42" ht="11.25" customHeight="1" x14ac:dyDescent="0.3">
      <c r="A9" s="96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17.778935388018233</v>
      </c>
      <c r="AP9" s="20">
        <f ca="1">+'TUSD BE'!$T$9+'TUSD BE'!$AB$9+'TUSD BE'!$AD$9+'TUSD BE'!$AL$9</f>
        <v>17.778935388018233</v>
      </c>
    </row>
    <row r="10" spans="1:42" ht="11.25" customHeight="1" x14ac:dyDescent="0.3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18" t="s">
        <v>9</v>
      </c>
      <c r="H10" s="18" t="s">
        <v>74</v>
      </c>
      <c r="I10" s="18">
        <f>'MERCADO TUSD'!$U$7</f>
        <v>35589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43.803410495697179</v>
      </c>
      <c r="AP10" s="20">
        <f ca="1">+'TUSD BE'!$T$10+'TUSD BE'!$AB$10+'TUSD BE'!$AD$10+'TUSD BE'!$AL$10</f>
        <v>43.803410495697179</v>
      </c>
    </row>
    <row r="11" spans="1:42" ht="11.25" customHeight="1" x14ac:dyDescent="0.3">
      <c r="A11" s="96"/>
      <c r="B11" s="96"/>
      <c r="C11" s="96"/>
      <c r="D11" s="96"/>
      <c r="E11" s="96"/>
      <c r="F11" s="96"/>
      <c r="G11" s="18" t="s">
        <v>69</v>
      </c>
      <c r="H11" s="18" t="s">
        <v>68</v>
      </c>
      <c r="I11" s="18">
        <f>'MERCADO TUSD'!$U$8</f>
        <v>1281.3549999999998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3660.7837981939138</v>
      </c>
      <c r="AP11" s="20">
        <f ca="1">+'TUSD BE'!$T$11+'TUSD BE'!$AB$11+'TUSD BE'!$AD$11+'TUSD BE'!$AL$11</f>
        <v>3660.7837981939138</v>
      </c>
    </row>
    <row r="12" spans="1:42" ht="11.25" customHeight="1" x14ac:dyDescent="0.3">
      <c r="A12" s="96"/>
      <c r="B12" s="96"/>
      <c r="C12" s="96"/>
      <c r="D12" s="96"/>
      <c r="E12" s="96"/>
      <c r="F12" s="96"/>
      <c r="G12" s="18" t="s">
        <v>70</v>
      </c>
      <c r="H12" s="18" t="s">
        <v>68</v>
      </c>
      <c r="I12" s="18">
        <f>'MERCADO TUSD'!$U$9</f>
        <v>12598.463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127.36112969025851</v>
      </c>
      <c r="AP12" s="20">
        <f ca="1">+'TUSD BE'!$T$12+'TUSD BE'!$AB$12+'TUSD BE'!$AD$12+'TUSD BE'!$AL$12</f>
        <v>127.36112969025851</v>
      </c>
    </row>
    <row r="13" spans="1:42" ht="11.25" customHeight="1" x14ac:dyDescent="0.3">
      <c r="A13" s="96"/>
      <c r="B13" s="96"/>
      <c r="C13" s="96"/>
      <c r="D13" s="96"/>
      <c r="E13" s="96" t="s">
        <v>77</v>
      </c>
      <c r="F13" s="96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3545.9971122106185</v>
      </c>
      <c r="AP13" s="20">
        <f ca="1">+'TUSD BE'!$T$13+'TUSD BE'!$AB$13+'TUSD BE'!$AD$13+'TUSD BE'!$AL$13</f>
        <v>3545.9971122106185</v>
      </c>
    </row>
    <row r="14" spans="1:42" ht="11.25" customHeight="1" x14ac:dyDescent="0.3">
      <c r="A14" s="96"/>
      <c r="B14" s="96"/>
      <c r="C14" s="96"/>
      <c r="D14" s="96"/>
      <c r="E14" s="96"/>
      <c r="F14" s="96"/>
      <c r="G14" s="18" t="s">
        <v>70</v>
      </c>
      <c r="H14" s="18" t="s">
        <v>68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12.574443706963578</v>
      </c>
      <c r="AP14" s="20">
        <f ca="1">+'TUSD BE'!$T$14+'TUSD BE'!$AB$14+'TUSD BE'!$AD$14+'TUSD BE'!$AL$14</f>
        <v>12.574443706963578</v>
      </c>
    </row>
    <row r="15" spans="1:42" ht="11.25" customHeight="1" x14ac:dyDescent="0.3">
      <c r="A15" s="96" t="s">
        <v>79</v>
      </c>
      <c r="B15" s="96" t="s">
        <v>78</v>
      </c>
      <c r="C15" s="96" t="s">
        <v>25</v>
      </c>
      <c r="D15" s="96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4.3177468762352031</v>
      </c>
      <c r="AP15" s="20">
        <f ca="1">+'TUSD BE'!$T$15+'TUSD BE'!$AB$15+'TUSD BE'!$AD$15+'TUSD BE'!$AL$15</f>
        <v>4.3177468762352031</v>
      </c>
    </row>
    <row r="16" spans="1:42" ht="11.25" customHeight="1" x14ac:dyDescent="0.3">
      <c r="A16" s="96"/>
      <c r="B16" s="96"/>
      <c r="C16" s="96"/>
      <c r="D16" s="96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23.770323672279009</v>
      </c>
      <c r="AP16" s="20">
        <f ca="1">+'TUSD BE'!$T$16+'TUSD BE'!$AB$16+'TUSD BE'!$AD$16+'TUSD BE'!$AL$16</f>
        <v>23.770323672279009</v>
      </c>
    </row>
    <row r="17" spans="1:42" ht="11.25" customHeight="1" x14ac:dyDescent="0.3">
      <c r="A17" s="96" t="s">
        <v>22</v>
      </c>
      <c r="B17" s="96" t="s">
        <v>33</v>
      </c>
      <c r="C17" s="96" t="s">
        <v>24</v>
      </c>
      <c r="D17" s="96" t="s">
        <v>24</v>
      </c>
      <c r="E17" s="96" t="s">
        <v>25</v>
      </c>
      <c r="F17" s="96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1494.0616193153382</v>
      </c>
      <c r="AP17" s="20">
        <f ca="1">+'TUSD BE'!$T$17+'TUSD BE'!$AB$17+'TUSD BE'!$AD$17+'TUSD BE'!$AL$17</f>
        <v>1494.0616193153382</v>
      </c>
    </row>
    <row r="18" spans="1:42" ht="11.25" customHeight="1" x14ac:dyDescent="0.3">
      <c r="A18" s="96"/>
      <c r="B18" s="96"/>
      <c r="C18" s="96"/>
      <c r="D18" s="96"/>
      <c r="E18" s="96"/>
      <c r="F18" s="96"/>
      <c r="G18" s="18" t="s">
        <v>82</v>
      </c>
      <c r="H18" s="18" t="s">
        <v>68</v>
      </c>
      <c r="I18" s="18">
        <f>'MERCADO TUSD'!$U$15</f>
        <v>0.19500000000000003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963.23939468028664</v>
      </c>
      <c r="AP18" s="20">
        <f ca="1">+'TUSD BE'!$T$18+'TUSD BE'!$AB$18+'TUSD BE'!$AD$18+'TUSD BE'!$AL$18</f>
        <v>963.23939468028664</v>
      </c>
    </row>
    <row r="19" spans="1:42" ht="11.25" customHeight="1" x14ac:dyDescent="0.3">
      <c r="A19" s="96"/>
      <c r="B19" s="96"/>
      <c r="C19" s="96"/>
      <c r="D19" s="96"/>
      <c r="E19" s="96"/>
      <c r="F19" s="96"/>
      <c r="G19" s="18" t="s">
        <v>70</v>
      </c>
      <c r="H19" s="18" t="s">
        <v>68</v>
      </c>
      <c r="I19" s="18">
        <f>'MERCADO TUSD'!$U$16</f>
        <v>0.51100000000000001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432.4169902534075</v>
      </c>
      <c r="AP19" s="20">
        <f ca="1">+'TUSD BE'!$T$19+'TUSD BE'!$AB$19+'TUSD BE'!$AD$19+'TUSD BE'!$AL$19</f>
        <v>432.4169902534075</v>
      </c>
    </row>
    <row r="20" spans="1:42" ht="11.25" customHeight="1" x14ac:dyDescent="0.3">
      <c r="A20" s="96"/>
      <c r="B20" s="96" t="s">
        <v>23</v>
      </c>
      <c r="C20" s="96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5284.665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624.60320946316176</v>
      </c>
      <c r="AP20" s="20">
        <f ca="1">+'TUSD BE'!$T$20+'TUSD BE'!$AB$20+'TUSD BE'!$AD$20+'TUSD BE'!$AL$20</f>
        <v>624.60320946316176</v>
      </c>
    </row>
    <row r="21" spans="1:42" ht="11.25" customHeight="1" x14ac:dyDescent="0.3">
      <c r="A21" s="96"/>
      <c r="B21" s="96"/>
      <c r="C21" s="96"/>
      <c r="D21" s="17" t="s">
        <v>29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53.816000000000003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490.67462926475764</v>
      </c>
      <c r="AP21" s="20">
        <f ca="1">+'TUSD BE'!$T$21+'TUSD BE'!$AB$21+'TUSD BE'!$AD$21+'TUSD BE'!$AL$21</f>
        <v>490.67462926475764</v>
      </c>
    </row>
    <row r="22" spans="1:42" ht="11.25" customHeight="1" x14ac:dyDescent="0.3">
      <c r="A22" s="96"/>
      <c r="B22" s="96"/>
      <c r="C22" s="96"/>
      <c r="D22" s="17" t="s">
        <v>30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106.858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490.67462926475764</v>
      </c>
      <c r="AP22" s="20">
        <f ca="1">+'TUSD BE'!$T$22+'TUSD BE'!$AB$22+'TUSD BE'!$AD$22+'TUSD BE'!$AL$22</f>
        <v>490.67462926475764</v>
      </c>
    </row>
    <row r="23" spans="1:42" ht="11.25" customHeight="1" x14ac:dyDescent="0.3">
      <c r="A23" s="96"/>
      <c r="B23" s="96"/>
      <c r="C23" s="96"/>
      <c r="D23" s="17" t="s">
        <v>31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84.406000000000006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490.67462926475764</v>
      </c>
      <c r="AP23" s="20">
        <f ca="1">+'TUSD BE'!$T$23+'TUSD BE'!$AB$23+'TUSD BE'!$AD$23+'TUSD BE'!$AL$23</f>
        <v>490.67462926475764</v>
      </c>
    </row>
    <row r="24" spans="1:42" ht="11.25" customHeight="1" x14ac:dyDescent="0.3">
      <c r="A24" s="96"/>
      <c r="B24" s="96"/>
      <c r="C24" s="96"/>
      <c r="D24" s="17" t="s">
        <v>32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19.05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490.67462926475764</v>
      </c>
      <c r="AP24" s="20">
        <f ca="1">+'TUSD BE'!$T$24+'TUSD BE'!$AB$24+'TUSD BE'!$AD$24+'TUSD BE'!$AL$24</f>
        <v>490.67462926475764</v>
      </c>
    </row>
    <row r="25" spans="1:42" ht="11.25" customHeight="1" x14ac:dyDescent="0.3">
      <c r="A25" s="96"/>
      <c r="B25" s="96" t="s">
        <v>84</v>
      </c>
      <c r="C25" s="96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624.60320946316176</v>
      </c>
      <c r="AP25" s="20">
        <f ca="1">+'TUSD BE'!$T$25+'TUSD BE'!$AB$25+'TUSD BE'!$AD$25+'TUSD BE'!$AL$25</f>
        <v>624.60320946316176</v>
      </c>
    </row>
    <row r="26" spans="1:42" ht="11.25" customHeight="1" x14ac:dyDescent="0.3">
      <c r="A26" s="96"/>
      <c r="B26" s="96"/>
      <c r="C26" s="96"/>
      <c r="D26" s="17" t="s">
        <v>29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490.67462926475764</v>
      </c>
      <c r="AP26" s="20">
        <f ca="1">+'TUSD BE'!$T$26+'TUSD BE'!$AB$26+'TUSD BE'!$AD$26+'TUSD BE'!$AL$26</f>
        <v>490.67462926475764</v>
      </c>
    </row>
    <row r="27" spans="1:42" ht="11.25" customHeight="1" x14ac:dyDescent="0.3">
      <c r="A27" s="96"/>
      <c r="B27" s="96"/>
      <c r="C27" s="96"/>
      <c r="D27" s="17" t="s">
        <v>30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490.67462926475764</v>
      </c>
      <c r="AP27" s="20">
        <f ca="1">+'TUSD BE'!$T$27+'TUSD BE'!$AB$27+'TUSD BE'!$AD$27+'TUSD BE'!$AL$27</f>
        <v>490.67462926475764</v>
      </c>
    </row>
    <row r="28" spans="1:42" ht="11.25" customHeight="1" x14ac:dyDescent="0.3">
      <c r="A28" s="96"/>
      <c r="B28" s="96"/>
      <c r="C28" s="96"/>
      <c r="D28" s="17" t="s">
        <v>31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490.67462926475764</v>
      </c>
      <c r="AP28" s="20">
        <f ca="1">+'TUSD BE'!$T$28+'TUSD BE'!$AB$28+'TUSD BE'!$AD$28+'TUSD BE'!$AL$28</f>
        <v>490.67462926475764</v>
      </c>
    </row>
    <row r="29" spans="1:42" ht="11.25" customHeight="1" x14ac:dyDescent="0.3">
      <c r="A29" s="96"/>
      <c r="B29" s="96"/>
      <c r="C29" s="96"/>
      <c r="D29" s="17" t="s">
        <v>32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490.67462926475764</v>
      </c>
      <c r="AP29" s="20">
        <f ca="1">+'TUSD BE'!$T$29+'TUSD BE'!$AB$29+'TUSD BE'!$AD$29+'TUSD BE'!$AL$29</f>
        <v>490.67462926475764</v>
      </c>
    </row>
    <row r="30" spans="1:42" ht="11.25" customHeight="1" x14ac:dyDescent="0.3">
      <c r="A30" s="96" t="s">
        <v>41</v>
      </c>
      <c r="B30" s="96" t="s">
        <v>33</v>
      </c>
      <c r="C30" s="96" t="s">
        <v>42</v>
      </c>
      <c r="D30" s="96" t="s">
        <v>25</v>
      </c>
      <c r="E30" s="96" t="s">
        <v>25</v>
      </c>
      <c r="F30" s="96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1585.579057245792</v>
      </c>
      <c r="AP30" s="20">
        <f ca="1">+'TUSD BE'!$T$30+'TUSD BE'!$AB$30+'TUSD BE'!$AD$30+'TUSD BE'!$AL$30</f>
        <v>1585.579057245792</v>
      </c>
    </row>
    <row r="31" spans="1:42" ht="11.25" customHeight="1" x14ac:dyDescent="0.3">
      <c r="A31" s="96"/>
      <c r="B31" s="96"/>
      <c r="C31" s="96"/>
      <c r="D31" s="96"/>
      <c r="E31" s="96"/>
      <c r="F31" s="96"/>
      <c r="G31" s="18" t="s">
        <v>82</v>
      </c>
      <c r="H31" s="18" t="s">
        <v>68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1018.1524480704046</v>
      </c>
      <c r="AP31" s="20">
        <f ca="1">+'TUSD BE'!$T$31+'TUSD BE'!$AB$31+'TUSD BE'!$AD$31+'TUSD BE'!$AL$31</f>
        <v>1018.1524480704046</v>
      </c>
    </row>
    <row r="32" spans="1:42" ht="11.25" customHeight="1" x14ac:dyDescent="0.3">
      <c r="A32" s="96"/>
      <c r="B32" s="96"/>
      <c r="C32" s="96"/>
      <c r="D32" s="96"/>
      <c r="E32" s="96"/>
      <c r="F32" s="96"/>
      <c r="G32" s="18" t="s">
        <v>70</v>
      </c>
      <c r="H32" s="18" t="s">
        <v>68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450.71922747153229</v>
      </c>
      <c r="AP32" s="20">
        <f ca="1">+'TUSD BE'!$T$32+'TUSD BE'!$AB$32+'TUSD BE'!$AD$32+'TUSD BE'!$AL$32</f>
        <v>450.71922747153229</v>
      </c>
    </row>
    <row r="33" spans="1:42" ht="11.25" customHeight="1" x14ac:dyDescent="0.3">
      <c r="A33" s="96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1383.9670000000001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624.60320946316176</v>
      </c>
      <c r="AP33" s="20">
        <f ca="1">+'TUSD BE'!$T$33+'TUSD BE'!$AB$33+'TUSD BE'!$AD$33+'TUSD BE'!$AL$33</f>
        <v>624.60320946316176</v>
      </c>
    </row>
    <row r="34" spans="1:42" ht="11.25" customHeight="1" x14ac:dyDescent="0.3">
      <c r="A34" s="96"/>
      <c r="B34" s="96" t="s">
        <v>33</v>
      </c>
      <c r="C34" s="96" t="s">
        <v>42</v>
      </c>
      <c r="D34" s="96" t="s">
        <v>85</v>
      </c>
      <c r="E34" s="96" t="s">
        <v>25</v>
      </c>
      <c r="F34" s="96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1585.579057245792</v>
      </c>
      <c r="AP34" s="20">
        <f ca="1">+'TUSD BE'!$T$34+'TUSD BE'!$AB$34+'TUSD BE'!$AD$34+'TUSD BE'!$AL$34</f>
        <v>1585.579057245792</v>
      </c>
    </row>
    <row r="35" spans="1:42" ht="11.25" customHeight="1" x14ac:dyDescent="0.3">
      <c r="A35" s="96"/>
      <c r="B35" s="96"/>
      <c r="C35" s="96"/>
      <c r="D35" s="96"/>
      <c r="E35" s="96"/>
      <c r="F35" s="96"/>
      <c r="G35" s="18" t="s">
        <v>82</v>
      </c>
      <c r="H35" s="18" t="s">
        <v>68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1018.1524480704046</v>
      </c>
      <c r="AP35" s="20">
        <f ca="1">+'TUSD BE'!$T$35+'TUSD BE'!$AB$35+'TUSD BE'!$AD$35+'TUSD BE'!$AL$35</f>
        <v>1018.1524480704046</v>
      </c>
    </row>
    <row r="36" spans="1:42" ht="11.25" customHeight="1" x14ac:dyDescent="0.3">
      <c r="A36" s="96"/>
      <c r="B36" s="96"/>
      <c r="C36" s="96"/>
      <c r="D36" s="96"/>
      <c r="E36" s="96"/>
      <c r="F36" s="96"/>
      <c r="G36" s="18" t="s">
        <v>70</v>
      </c>
      <c r="H36" s="18" t="s">
        <v>68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450.71922747153229</v>
      </c>
      <c r="AP36" s="20">
        <f ca="1">+'TUSD BE'!$T$36+'TUSD BE'!$AB$36+'TUSD BE'!$AD$36+'TUSD BE'!$AL$36</f>
        <v>450.71922747153229</v>
      </c>
    </row>
    <row r="37" spans="1:42" ht="11.25" customHeight="1" x14ac:dyDescent="0.3">
      <c r="A37" s="96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624.60320946316176</v>
      </c>
      <c r="AP37" s="20">
        <f ca="1">+'TUSD BE'!$T$37+'TUSD BE'!$AB$37+'TUSD BE'!$AD$37+'TUSD BE'!$AL$37</f>
        <v>624.60320946316176</v>
      </c>
    </row>
    <row r="38" spans="1:42" ht="11.25" customHeight="1" x14ac:dyDescent="0.3">
      <c r="A38" s="96"/>
      <c r="B38" s="96" t="s">
        <v>33</v>
      </c>
      <c r="C38" s="96" t="s">
        <v>42</v>
      </c>
      <c r="D38" s="96" t="s">
        <v>86</v>
      </c>
      <c r="E38" s="96" t="s">
        <v>25</v>
      </c>
      <c r="F38" s="96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1585.579057245792</v>
      </c>
      <c r="AP38" s="20">
        <f ca="1">+'TUSD BE'!$T$38+'TUSD BE'!$AB$38+'TUSD BE'!$AD$38+'TUSD BE'!$AL$38</f>
        <v>1585.579057245792</v>
      </c>
    </row>
    <row r="39" spans="1:42" ht="11.25" customHeight="1" x14ac:dyDescent="0.3">
      <c r="A39" s="96"/>
      <c r="B39" s="96"/>
      <c r="C39" s="96"/>
      <c r="D39" s="96"/>
      <c r="E39" s="96"/>
      <c r="F39" s="96"/>
      <c r="G39" s="18" t="s">
        <v>82</v>
      </c>
      <c r="H39" s="18" t="s">
        <v>68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1018.1524480704046</v>
      </c>
      <c r="AP39" s="20">
        <f ca="1">+'TUSD BE'!$T$39+'TUSD BE'!$AB$39+'TUSD BE'!$AD$39+'TUSD BE'!$AL$39</f>
        <v>1018.1524480704046</v>
      </c>
    </row>
    <row r="40" spans="1:42" ht="11.25" customHeight="1" x14ac:dyDescent="0.3">
      <c r="A40" s="96"/>
      <c r="B40" s="96"/>
      <c r="C40" s="96"/>
      <c r="D40" s="96"/>
      <c r="E40" s="96"/>
      <c r="F40" s="96"/>
      <c r="G40" s="18" t="s">
        <v>70</v>
      </c>
      <c r="H40" s="18" t="s">
        <v>68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450.71922747153229</v>
      </c>
      <c r="AP40" s="20">
        <f ca="1">+'TUSD BE'!$T$40+'TUSD BE'!$AB$40+'TUSD BE'!$AD$40+'TUSD BE'!$AL$40</f>
        <v>450.71922747153229</v>
      </c>
    </row>
    <row r="41" spans="1:42" ht="11.25" customHeight="1" x14ac:dyDescent="0.3">
      <c r="A41" s="96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624.60320946316176</v>
      </c>
      <c r="AP41" s="20">
        <f ca="1">+'TUSD BE'!$T$41+'TUSD BE'!$AB$41+'TUSD BE'!$AD$41+'TUSD BE'!$AL$41</f>
        <v>624.60320946316176</v>
      </c>
    </row>
    <row r="42" spans="1:42" ht="11.25" customHeight="1" x14ac:dyDescent="0.3">
      <c r="A42" s="96"/>
      <c r="B42" s="96" t="s">
        <v>84</v>
      </c>
      <c r="C42" s="96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624.60320946316176</v>
      </c>
      <c r="AP42" s="20">
        <f ca="1">+'TUSD BE'!$T$42+'TUSD BE'!$AB$42+'TUSD BE'!$AD$42+'TUSD BE'!$AL$42</f>
        <v>624.60320946316176</v>
      </c>
    </row>
    <row r="43" spans="1:42" ht="11.25" customHeight="1" x14ac:dyDescent="0.3">
      <c r="A43" s="96"/>
      <c r="B43" s="96"/>
      <c r="C43" s="96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624.60320946316176</v>
      </c>
      <c r="AP43" s="20">
        <f ca="1">+'TUSD BE'!$T$43+'TUSD BE'!$AB$43+'TUSD BE'!$AD$43+'TUSD BE'!$AL$43</f>
        <v>624.60320946316176</v>
      </c>
    </row>
    <row r="44" spans="1:42" ht="11.25" customHeight="1" x14ac:dyDescent="0.3">
      <c r="A44" s="96"/>
      <c r="B44" s="96"/>
      <c r="C44" s="96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624.60320946316176</v>
      </c>
      <c r="AP44" s="20">
        <f ca="1">+'TUSD BE'!$T$44+'TUSD BE'!$AB$44+'TUSD BE'!$AD$44+'TUSD BE'!$AL$44</f>
        <v>624.60320946316176</v>
      </c>
    </row>
    <row r="45" spans="1:42" ht="11.25" customHeight="1" x14ac:dyDescent="0.3">
      <c r="A45" s="96" t="s">
        <v>36</v>
      </c>
      <c r="B45" s="96" t="s">
        <v>33</v>
      </c>
      <c r="C45" s="96" t="s">
        <v>25</v>
      </c>
      <c r="D45" s="96" t="s">
        <v>25</v>
      </c>
      <c r="E45" s="96" t="s">
        <v>25</v>
      </c>
      <c r="F45" s="96" t="s">
        <v>25</v>
      </c>
      <c r="G45" s="18" t="s">
        <v>69</v>
      </c>
      <c r="H45" s="18" t="s">
        <v>68</v>
      </c>
      <c r="I45" s="18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1631.3346952390611</v>
      </c>
      <c r="AP45" s="20">
        <f ca="1">+'TUSD BE'!$T$45+'TUSD BE'!$AB$45+'TUSD BE'!$AD$45+'TUSD BE'!$AL$45</f>
        <v>1631.3346952390611</v>
      </c>
    </row>
    <row r="46" spans="1:42" ht="11.25" customHeight="1" x14ac:dyDescent="0.3">
      <c r="A46" s="96"/>
      <c r="B46" s="96"/>
      <c r="C46" s="96"/>
      <c r="D46" s="96"/>
      <c r="E46" s="96"/>
      <c r="F46" s="96"/>
      <c r="G46" s="18" t="s">
        <v>82</v>
      </c>
      <c r="H46" s="18" t="s">
        <v>68</v>
      </c>
      <c r="I46" s="18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1045.6055791578071</v>
      </c>
      <c r="AP46" s="20">
        <f ca="1">+'TUSD BE'!$T$46+'TUSD BE'!$AB$46+'TUSD BE'!$AD$46+'TUSD BE'!$AL$46</f>
        <v>1045.6055791578071</v>
      </c>
    </row>
    <row r="47" spans="1:42" ht="11.25" customHeight="1" x14ac:dyDescent="0.3">
      <c r="A47" s="96"/>
      <c r="B47" s="96"/>
      <c r="C47" s="96"/>
      <c r="D47" s="96"/>
      <c r="E47" s="96"/>
      <c r="F47" s="96"/>
      <c r="G47" s="18" t="s">
        <v>70</v>
      </c>
      <c r="H47" s="18" t="s">
        <v>68</v>
      </c>
      <c r="I47" s="18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459.87039102855164</v>
      </c>
      <c r="AP47" s="20">
        <f ca="1">+'TUSD BE'!$T$47+'TUSD BE'!$AB$47+'TUSD BE'!$AD$47+'TUSD BE'!$AL$47</f>
        <v>459.87039102855164</v>
      </c>
    </row>
    <row r="48" spans="1:42" ht="11.25" customHeight="1" x14ac:dyDescent="0.3">
      <c r="A48" s="96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643.45600000000002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624.60320946316176</v>
      </c>
      <c r="AP48" s="20">
        <f ca="1">+'TUSD BE'!$T$48+'TUSD BE'!$AB$48+'TUSD BE'!$AD$48+'TUSD BE'!$AL$48</f>
        <v>624.60320946316176</v>
      </c>
    </row>
    <row r="49" spans="1:42" ht="11.25" customHeight="1" x14ac:dyDescent="0.3">
      <c r="A49" s="96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624.60320946316176</v>
      </c>
      <c r="AP49" s="20">
        <f ca="1">+'TUSD BE'!$T$49+'TUSD BE'!$AB$49+'TUSD BE'!$AD$49+'TUSD BE'!$AL$49</f>
        <v>624.60320946316176</v>
      </c>
    </row>
    <row r="50" spans="1:42" ht="11.25" customHeight="1" x14ac:dyDescent="0.3">
      <c r="A50" s="96" t="s">
        <v>44</v>
      </c>
      <c r="B50" s="96" t="s">
        <v>23</v>
      </c>
      <c r="C50" s="96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546.72599999999989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343.53176520473897</v>
      </c>
      <c r="AP50" s="20">
        <f ca="1">+'TUSD BE'!$T$50+'TUSD BE'!$AB$50+'TUSD BE'!$AD$50+'TUSD BE'!$AL$50</f>
        <v>343.53176520473897</v>
      </c>
    </row>
    <row r="51" spans="1:42" ht="11.25" customHeight="1" x14ac:dyDescent="0.3">
      <c r="A51" s="96"/>
      <c r="B51" s="96"/>
      <c r="C51" s="96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374.76192567789701</v>
      </c>
      <c r="AP51" s="20">
        <f ca="1">+'TUSD BE'!$T$51+'TUSD BE'!$AB$51+'TUSD BE'!$AD$51+'TUSD BE'!$AL$51</f>
        <v>374.76192567789701</v>
      </c>
    </row>
    <row r="53" spans="1:42" ht="11.25" customHeight="1" x14ac:dyDescent="0.3">
      <c r="K53" s="16" t="s">
        <v>505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12739219.747039415</v>
      </c>
      <c r="AP53" s="18">
        <f ca="1">SUMPRODUCT($I$5:$I51,$AP$5:$AP51)</f>
        <v>12739219.747039415</v>
      </c>
    </row>
    <row r="54" spans="1:42" ht="11.25" customHeight="1" x14ac:dyDescent="0.3">
      <c r="K54" s="16" t="s">
        <v>437</v>
      </c>
      <c r="L54" s="13">
        <f>'TR TUSD'!$L$56</f>
        <v>561638.5612703464</v>
      </c>
      <c r="M54" s="13">
        <f>'TR TUSD'!$M$56</f>
        <v>32726.000289716503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1744067.2510800003</v>
      </c>
      <c r="R54" s="13">
        <f>'TR TUSD'!$R$56</f>
        <v>307176.84594000003</v>
      </c>
      <c r="S54" s="13">
        <f>'TR TUSD'!$S$56</f>
        <v>0</v>
      </c>
      <c r="T54" s="13">
        <f>'TR TUSD'!$T$56</f>
        <v>2645608.6585800634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2472691.1461900002</v>
      </c>
      <c r="Z54" s="13">
        <f>'TR TUSD'!$Z$56</f>
        <v>0</v>
      </c>
      <c r="AA54" s="13">
        <f>'TR TUSD'!$AA$56</f>
        <v>0</v>
      </c>
      <c r="AB54" s="13">
        <f>'TR TUSD'!$AB$56</f>
        <v>2472691.1461900002</v>
      </c>
      <c r="AC54" s="13">
        <f>'TR TUSD'!$AC$56</f>
        <v>7218569.4400000004</v>
      </c>
      <c r="AD54" s="13">
        <f>'TR TUSD'!$AD$56</f>
        <v>7218569.4400000004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402350.50226934697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402350.50226934697</v>
      </c>
      <c r="AM54" s="13">
        <f>CUSTOS!$D$29</f>
        <v>12739219.747039411</v>
      </c>
      <c r="AO54" s="18">
        <f>$AE$56</f>
        <v>0</v>
      </c>
      <c r="AP54" s="18">
        <f>$AF$56</f>
        <v>0</v>
      </c>
    </row>
    <row r="55" spans="1:42" ht="11.25" customHeight="1" x14ac:dyDescent="0.3">
      <c r="K55" s="16" t="s">
        <v>438</v>
      </c>
      <c r="L55" s="13">
        <f>CUSTOS!$E$2</f>
        <v>-3474.370163392417</v>
      </c>
      <c r="M55" s="13">
        <f>CUSTOS!$E$3</f>
        <v>-230.23633007930752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-7368.2249409820133</v>
      </c>
      <c r="R55" s="13">
        <f>CUSTOS!$E$8</f>
        <v>-1404.9905913531622</v>
      </c>
      <c r="S55" s="13">
        <f>CUSTOS!$E$9</f>
        <v>0</v>
      </c>
      <c r="T55" s="13">
        <f>CUSTOS!$E$10</f>
        <v>-12477.8220258069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85009.576954378659</v>
      </c>
      <c r="Z55" s="13">
        <f>CUSTOS!$E$16</f>
        <v>0</v>
      </c>
      <c r="AA55" s="13">
        <f>CUSTOS!$E$17</f>
        <v>0</v>
      </c>
      <c r="AB55" s="13">
        <f>CUSTOS!$E$18</f>
        <v>85009.576954378659</v>
      </c>
      <c r="AC55" s="13">
        <f>CUSTOS!$E$19</f>
        <v>-3024752.7960253092</v>
      </c>
      <c r="AD55" s="13">
        <f>CUSTOS!$E$20</f>
        <v>-3024752.7960253092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-8369.2053270178876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-8369.2053270178876</v>
      </c>
      <c r="AM55" s="13">
        <f>CUSTOS!$E$29</f>
        <v>-2960590.2464237553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439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502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04" priority="55" operator="notEqual">
      <formula>$L$56</formula>
    </cfRule>
    <cfRule type="cellIs" dxfId="703" priority="56" operator="equal">
      <formula>$L$56</formula>
    </cfRule>
  </conditionalFormatting>
  <conditionalFormatting sqref="M53">
    <cfRule type="cellIs" dxfId="702" priority="53" operator="notEqual">
      <formula>$M$56</formula>
    </cfRule>
    <cfRule type="cellIs" dxfId="701" priority="54" operator="equal">
      <formula>$M$56</formula>
    </cfRule>
  </conditionalFormatting>
  <conditionalFormatting sqref="N53">
    <cfRule type="cellIs" dxfId="700" priority="51" operator="notEqual">
      <formula>$N$56</formula>
    </cfRule>
    <cfRule type="cellIs" dxfId="699" priority="52" operator="equal">
      <formula>$N$56</formula>
    </cfRule>
  </conditionalFormatting>
  <conditionalFormatting sqref="O53">
    <cfRule type="cellIs" dxfId="698" priority="49" operator="notEqual">
      <formula>$O$56</formula>
    </cfRule>
    <cfRule type="cellIs" dxfId="697" priority="50" operator="equal">
      <formula>$O$56</formula>
    </cfRule>
  </conditionalFormatting>
  <conditionalFormatting sqref="P53">
    <cfRule type="cellIs" dxfId="696" priority="47" operator="notEqual">
      <formula>$P$56</formula>
    </cfRule>
    <cfRule type="cellIs" dxfId="695" priority="48" operator="equal">
      <formula>$P$56</formula>
    </cfRule>
  </conditionalFormatting>
  <conditionalFormatting sqref="Q53">
    <cfRule type="cellIs" dxfId="694" priority="45" operator="notEqual">
      <formula>$Q$56</formula>
    </cfRule>
    <cfRule type="cellIs" dxfId="693" priority="46" operator="equal">
      <formula>$Q$56</formula>
    </cfRule>
  </conditionalFormatting>
  <conditionalFormatting sqref="R53">
    <cfRule type="cellIs" dxfId="692" priority="43" operator="notEqual">
      <formula>$R$56</formula>
    </cfRule>
    <cfRule type="cellIs" dxfId="691" priority="44" operator="equal">
      <formula>$R$56</formula>
    </cfRule>
  </conditionalFormatting>
  <conditionalFormatting sqref="S53">
    <cfRule type="cellIs" dxfId="690" priority="41" operator="notEqual">
      <formula>$S$56</formula>
    </cfRule>
    <cfRule type="cellIs" dxfId="689" priority="42" operator="equal">
      <formula>$S$56</formula>
    </cfRule>
  </conditionalFormatting>
  <conditionalFormatting sqref="T53">
    <cfRule type="cellIs" dxfId="688" priority="39" operator="notEqual">
      <formula>$T$56</formula>
    </cfRule>
    <cfRule type="cellIs" dxfId="687" priority="40" operator="equal">
      <formula>$T$56</formula>
    </cfRule>
  </conditionalFormatting>
  <conditionalFormatting sqref="U53">
    <cfRule type="cellIs" dxfId="686" priority="37" operator="notEqual">
      <formula>$U$56</formula>
    </cfRule>
    <cfRule type="cellIs" dxfId="685" priority="38" operator="equal">
      <formula>$U$56</formula>
    </cfRule>
  </conditionalFormatting>
  <conditionalFormatting sqref="V53">
    <cfRule type="cellIs" dxfId="684" priority="35" operator="notEqual">
      <formula>$V$56</formula>
    </cfRule>
    <cfRule type="cellIs" dxfId="683" priority="36" operator="equal">
      <formula>$V$56</formula>
    </cfRule>
  </conditionalFormatting>
  <conditionalFormatting sqref="W53">
    <cfRule type="cellIs" dxfId="682" priority="33" operator="notEqual">
      <formula>$W$56</formula>
    </cfRule>
    <cfRule type="cellIs" dxfId="681" priority="34" operator="equal">
      <formula>$W$56</formula>
    </cfRule>
  </conditionalFormatting>
  <conditionalFormatting sqref="X53">
    <cfRule type="cellIs" dxfId="680" priority="31" operator="notEqual">
      <formula>$X$56</formula>
    </cfRule>
    <cfRule type="cellIs" dxfId="679" priority="32" operator="equal">
      <formula>$X$56</formula>
    </cfRule>
  </conditionalFormatting>
  <conditionalFormatting sqref="Y53">
    <cfRule type="cellIs" dxfId="678" priority="29" operator="notEqual">
      <formula>$Y$56</formula>
    </cfRule>
    <cfRule type="cellIs" dxfId="677" priority="30" operator="equal">
      <formula>$Y$56</formula>
    </cfRule>
  </conditionalFormatting>
  <conditionalFormatting sqref="Z53">
    <cfRule type="cellIs" dxfId="676" priority="27" operator="notEqual">
      <formula>$Z$56</formula>
    </cfRule>
    <cfRule type="cellIs" dxfId="675" priority="28" operator="equal">
      <formula>$Z$56</formula>
    </cfRule>
  </conditionalFormatting>
  <conditionalFormatting sqref="AA53">
    <cfRule type="cellIs" dxfId="674" priority="25" operator="notEqual">
      <formula>$AA$56</formula>
    </cfRule>
    <cfRule type="cellIs" dxfId="673" priority="26" operator="equal">
      <formula>$AA$56</formula>
    </cfRule>
  </conditionalFormatting>
  <conditionalFormatting sqref="AB53">
    <cfRule type="cellIs" dxfId="672" priority="23" operator="notEqual">
      <formula>$AB$56</formula>
    </cfRule>
    <cfRule type="cellIs" dxfId="671" priority="24" operator="equal">
      <formula>$AB$56</formula>
    </cfRule>
  </conditionalFormatting>
  <conditionalFormatting sqref="AC53">
    <cfRule type="cellIs" dxfId="670" priority="21" operator="notEqual">
      <formula>$AC$56</formula>
    </cfRule>
    <cfRule type="cellIs" dxfId="669" priority="22" operator="equal">
      <formula>$AC$56</formula>
    </cfRule>
  </conditionalFormatting>
  <conditionalFormatting sqref="AD53">
    <cfRule type="cellIs" dxfId="668" priority="19" operator="notEqual">
      <formula>$AD$56</formula>
    </cfRule>
    <cfRule type="cellIs" dxfId="667" priority="20" operator="equal">
      <formula>$AD$56</formula>
    </cfRule>
  </conditionalFormatting>
  <conditionalFormatting sqref="AE53">
    <cfRule type="cellIs" dxfId="666" priority="17" operator="notEqual">
      <formula>$AE$56</formula>
    </cfRule>
    <cfRule type="cellIs" dxfId="665" priority="18" operator="equal">
      <formula>$AE$56</formula>
    </cfRule>
  </conditionalFormatting>
  <conditionalFormatting sqref="AF53">
    <cfRule type="cellIs" dxfId="664" priority="16" operator="equal">
      <formula>$AF$56</formula>
    </cfRule>
  </conditionalFormatting>
  <conditionalFormatting sqref="AF53">
    <cfRule type="cellIs" dxfId="663" priority="15" operator="notEqual">
      <formula>$AF$56</formula>
    </cfRule>
  </conditionalFormatting>
  <conditionalFormatting sqref="AG53">
    <cfRule type="cellIs" dxfId="662" priority="14" operator="equal">
      <formula>$AG$56</formula>
    </cfRule>
  </conditionalFormatting>
  <conditionalFormatting sqref="AG53">
    <cfRule type="cellIs" dxfId="661" priority="13" operator="notEqual">
      <formula>$AG$56</formula>
    </cfRule>
  </conditionalFormatting>
  <conditionalFormatting sqref="AH53">
    <cfRule type="cellIs" dxfId="660" priority="12" operator="equal">
      <formula>$AH$56</formula>
    </cfRule>
  </conditionalFormatting>
  <conditionalFormatting sqref="AH53">
    <cfRule type="cellIs" dxfId="659" priority="11" operator="notEqual">
      <formula>$AH$56</formula>
    </cfRule>
  </conditionalFormatting>
  <conditionalFormatting sqref="AI53">
    <cfRule type="cellIs" dxfId="658" priority="10" operator="equal">
      <formula>$AI$56</formula>
    </cfRule>
  </conditionalFormatting>
  <conditionalFormatting sqref="AI53">
    <cfRule type="cellIs" dxfId="657" priority="9" operator="notEqual">
      <formula>$AI$56</formula>
    </cfRule>
  </conditionalFormatting>
  <conditionalFormatting sqref="AJ53">
    <cfRule type="cellIs" dxfId="656" priority="8" operator="equal">
      <formula>$AJ$56</formula>
    </cfRule>
  </conditionalFormatting>
  <conditionalFormatting sqref="AJ53">
    <cfRule type="cellIs" dxfId="655" priority="7" operator="notEqual">
      <formula>$AJ$56</formula>
    </cfRule>
  </conditionalFormatting>
  <conditionalFormatting sqref="AK53">
    <cfRule type="cellIs" dxfId="654" priority="6" operator="equal">
      <formula>$AK$56</formula>
    </cfRule>
  </conditionalFormatting>
  <conditionalFormatting sqref="AK53">
    <cfRule type="cellIs" dxfId="653" priority="5" operator="notEqual">
      <formula>$AK$56</formula>
    </cfRule>
  </conditionalFormatting>
  <conditionalFormatting sqref="AL53">
    <cfRule type="cellIs" dxfId="652" priority="4" operator="equal">
      <formula>$AL$56</formula>
    </cfRule>
  </conditionalFormatting>
  <conditionalFormatting sqref="AL53">
    <cfRule type="cellIs" dxfId="651" priority="3" operator="notEqual">
      <formula>$AL$56</formula>
    </cfRule>
  </conditionalFormatting>
  <conditionalFormatting sqref="AM53">
    <cfRule type="cellIs" dxfId="650" priority="2" operator="equal">
      <formula>$AM$56</formula>
    </cfRule>
  </conditionalFormatting>
  <conditionalFormatting sqref="AM53">
    <cfRule type="cellIs" dxfId="649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B517-9BB2-4910-8CB3-17C26ECCFCFF}">
  <dimension ref="A1:AB50"/>
  <sheetViews>
    <sheetView showGridLines="0" topLeftCell="A26" workbookViewId="0">
      <selection activeCell="K44" sqref="K44:AB50"/>
    </sheetView>
  </sheetViews>
  <sheetFormatPr defaultRowHeight="11.25" customHeight="1" x14ac:dyDescent="0.3"/>
  <cols>
    <col min="1" max="1" width="9" style="9" bestFit="1" customWidth="1"/>
    <col min="2" max="2" width="26.33203125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6.77734375" style="9" bestFit="1" customWidth="1"/>
    <col min="10" max="10" width="8.88671875" style="9"/>
    <col min="11" max="11" width="19.88671875" style="9" bestFit="1" customWidth="1"/>
    <col min="12" max="14" width="7.6640625" style="9" bestFit="1" customWidth="1"/>
    <col min="15" max="15" width="10.77734375" style="9" bestFit="1" customWidth="1"/>
    <col min="16" max="16" width="7.88671875" style="9" bestFit="1" customWidth="1"/>
    <col min="17" max="17" width="9" style="9" bestFit="1" customWidth="1"/>
    <col min="18" max="18" width="14.5546875" style="9" bestFit="1" customWidth="1"/>
    <col min="19" max="19" width="9.6640625" style="9" bestFit="1" customWidth="1"/>
    <col min="20" max="20" width="7.6640625" style="9" bestFit="1" customWidth="1"/>
    <col min="21" max="21" width="10.109375" style="9" bestFit="1" customWidth="1"/>
    <col min="22" max="22" width="7.6640625" style="9" bestFit="1" customWidth="1"/>
    <col min="23" max="23" width="9" style="9" bestFit="1" customWidth="1"/>
    <col min="24" max="24" width="7.77734375" style="9" bestFit="1" customWidth="1"/>
    <col min="25" max="25" width="9" style="9" bestFit="1" customWidth="1"/>
    <col min="26" max="26" width="10.6640625" style="9" bestFit="1" customWidth="1"/>
    <col min="27" max="27" width="9" style="9" bestFit="1" customWidth="1"/>
    <col min="28" max="28" width="9.6640625" style="9" bestFit="1" customWidth="1"/>
    <col min="29" max="16384" width="8.88671875" style="9"/>
  </cols>
  <sheetData>
    <row r="1" spans="1:28" ht="11.25" customHeight="1" x14ac:dyDescent="0.3">
      <c r="A1" s="106" t="s">
        <v>58</v>
      </c>
      <c r="B1" s="106" t="s">
        <v>59</v>
      </c>
      <c r="C1" s="106" t="s">
        <v>60</v>
      </c>
      <c r="D1" s="106" t="s">
        <v>61</v>
      </c>
      <c r="E1" s="106" t="s">
        <v>62</v>
      </c>
      <c r="F1" s="106" t="s">
        <v>15</v>
      </c>
      <c r="G1" s="106" t="s">
        <v>64</v>
      </c>
      <c r="H1" s="106" t="s">
        <v>65</v>
      </c>
      <c r="I1" s="106" t="s">
        <v>496</v>
      </c>
      <c r="J1" s="94"/>
      <c r="L1" s="104" t="s">
        <v>517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94"/>
      <c r="L2" s="104" t="s">
        <v>423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6"/>
      <c r="B3" s="106"/>
      <c r="C3" s="106"/>
      <c r="D3" s="106"/>
      <c r="E3" s="106"/>
      <c r="F3" s="106"/>
      <c r="G3" s="106"/>
      <c r="H3" s="106"/>
      <c r="I3" s="106"/>
      <c r="J3" s="94"/>
      <c r="L3" s="104" t="s">
        <v>396</v>
      </c>
      <c r="M3" s="104"/>
      <c r="N3" s="104"/>
      <c r="O3" s="104"/>
      <c r="P3" s="104"/>
      <c r="Q3" s="104"/>
      <c r="R3" s="104" t="s">
        <v>427</v>
      </c>
      <c r="S3" s="104"/>
      <c r="T3" s="104" t="s">
        <v>405</v>
      </c>
      <c r="U3" s="104"/>
      <c r="V3" s="104"/>
      <c r="W3" s="104"/>
      <c r="X3" s="104" t="s">
        <v>415</v>
      </c>
      <c r="Y3" s="104"/>
      <c r="Z3" s="104" t="s">
        <v>418</v>
      </c>
      <c r="AA3" s="104"/>
      <c r="AB3" s="104" t="s">
        <v>404</v>
      </c>
    </row>
    <row r="4" spans="1:28" ht="11.25" customHeight="1" x14ac:dyDescent="0.3">
      <c r="A4" s="106"/>
      <c r="B4" s="106"/>
      <c r="C4" s="106"/>
      <c r="D4" s="106"/>
      <c r="E4" s="106"/>
      <c r="F4" s="106"/>
      <c r="G4" s="106"/>
      <c r="H4" s="106"/>
      <c r="I4" s="106"/>
      <c r="J4" s="94"/>
      <c r="L4" s="24" t="s">
        <v>398</v>
      </c>
      <c r="M4" s="24" t="s">
        <v>424</v>
      </c>
      <c r="N4" s="24" t="s">
        <v>425</v>
      </c>
      <c r="O4" s="24" t="s">
        <v>484</v>
      </c>
      <c r="P4" s="24" t="s">
        <v>426</v>
      </c>
      <c r="Q4" s="24" t="s">
        <v>404</v>
      </c>
      <c r="R4" s="24" t="s">
        <v>428</v>
      </c>
      <c r="S4" s="24" t="s">
        <v>404</v>
      </c>
      <c r="T4" s="24" t="s">
        <v>429</v>
      </c>
      <c r="U4" s="24" t="s">
        <v>430</v>
      </c>
      <c r="V4" s="24" t="s">
        <v>431</v>
      </c>
      <c r="W4" s="24" t="s">
        <v>404</v>
      </c>
      <c r="X4" s="24" t="s">
        <v>416</v>
      </c>
      <c r="Y4" s="24" t="s">
        <v>404</v>
      </c>
      <c r="Z4" s="24" t="s">
        <v>432</v>
      </c>
      <c r="AA4" s="24" t="s">
        <v>404</v>
      </c>
      <c r="AB4" s="105"/>
    </row>
    <row r="5" spans="1:28" ht="11.25" customHeight="1" x14ac:dyDescent="0.3">
      <c r="A5" s="107" t="s">
        <v>38</v>
      </c>
      <c r="B5" s="107" t="s">
        <v>67</v>
      </c>
      <c r="C5" s="107" t="s">
        <v>25</v>
      </c>
      <c r="D5" s="107" t="s">
        <v>25</v>
      </c>
      <c r="E5" s="107" t="s">
        <v>25</v>
      </c>
      <c r="F5" s="107" t="s">
        <v>25</v>
      </c>
      <c r="G5" s="23" t="s">
        <v>69</v>
      </c>
      <c r="H5" s="23" t="s">
        <v>68</v>
      </c>
      <c r="I5" s="23">
        <f>'MERCADO TE'!$U$2</f>
        <v>257.68899999999996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3">
      <c r="A6" s="107"/>
      <c r="B6" s="107"/>
      <c r="C6" s="107"/>
      <c r="D6" s="107"/>
      <c r="E6" s="107"/>
      <c r="F6" s="107"/>
      <c r="G6" s="23" t="s">
        <v>70</v>
      </c>
      <c r="H6" s="23" t="s">
        <v>68</v>
      </c>
      <c r="I6" s="23">
        <f>'MERCADO TE'!$U$3</f>
        <v>2720.0279999999998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3">
      <c r="A7" s="107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3">
      <c r="A8" s="107" t="s">
        <v>22</v>
      </c>
      <c r="B8" s="107" t="s">
        <v>67</v>
      </c>
      <c r="C8" s="107" t="s">
        <v>24</v>
      </c>
      <c r="D8" s="107" t="s">
        <v>24</v>
      </c>
      <c r="E8" s="107" t="s">
        <v>25</v>
      </c>
      <c r="F8" s="107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3">
      <c r="A9" s="107"/>
      <c r="B9" s="107"/>
      <c r="C9" s="107"/>
      <c r="D9" s="107"/>
      <c r="E9" s="107"/>
      <c r="F9" s="107"/>
      <c r="G9" s="23" t="s">
        <v>82</v>
      </c>
      <c r="H9" s="23" t="s">
        <v>68</v>
      </c>
      <c r="I9" s="23">
        <f>'MERCADO TE'!$U$6</f>
        <v>0.19500000000000003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3">
      <c r="A10" s="107"/>
      <c r="B10" s="107"/>
      <c r="C10" s="107"/>
      <c r="D10" s="107"/>
      <c r="E10" s="107"/>
      <c r="F10" s="107"/>
      <c r="G10" s="23" t="s">
        <v>70</v>
      </c>
      <c r="H10" s="23" t="s">
        <v>68</v>
      </c>
      <c r="I10" s="23">
        <f>'MERCADO TE'!$U$7</f>
        <v>0.51100000000000001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3">
      <c r="A11" s="107"/>
      <c r="B11" s="107" t="s">
        <v>71</v>
      </c>
      <c r="C11" s="107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5284.665</v>
      </c>
      <c r="J11" s="15"/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/>
      <c r="R11" s="20">
        <v>1</v>
      </c>
      <c r="S11" s="20"/>
      <c r="T11" s="20">
        <v>1</v>
      </c>
      <c r="U11" s="20">
        <v>1</v>
      </c>
      <c r="V11" s="20">
        <v>1</v>
      </c>
      <c r="W11" s="20"/>
      <c r="X11" s="20"/>
      <c r="Y11" s="20"/>
      <c r="Z11" s="20">
        <v>1</v>
      </c>
      <c r="AA11" s="20"/>
      <c r="AB11" s="20"/>
    </row>
    <row r="12" spans="1:28" ht="11.25" customHeight="1" x14ac:dyDescent="0.3">
      <c r="A12" s="107"/>
      <c r="B12" s="107"/>
      <c r="C12" s="107"/>
      <c r="D12" s="22" t="s">
        <v>29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53.816000000000003</v>
      </c>
      <c r="J12" s="15"/>
      <c r="L12" s="20">
        <f>1 - CUSTOS!$M$24</f>
        <v>1</v>
      </c>
      <c r="M12" s="20">
        <f>1 - CUSTOS!$M$24</f>
        <v>1</v>
      </c>
      <c r="N12" s="20">
        <f>1 - CUSTOS!$M$24</f>
        <v>1</v>
      </c>
      <c r="O12" s="20">
        <f>1 - CUSTOS!$M$24</f>
        <v>1</v>
      </c>
      <c r="P12" s="20">
        <f>1 - CUSTOS!$M$24</f>
        <v>1</v>
      </c>
      <c r="Q12" s="20"/>
      <c r="R12" s="20">
        <f>(1 - CUSTOS!$M$24)*1</f>
        <v>1</v>
      </c>
      <c r="S12" s="20"/>
      <c r="T12" s="20">
        <f>1 - CUSTOS!$M$24</f>
        <v>1</v>
      </c>
      <c r="U12" s="20">
        <f>1 - CUSTOS!$M$24</f>
        <v>1</v>
      </c>
      <c r="V12" s="20">
        <f>1 - CUSTOS!$M$24</f>
        <v>1</v>
      </c>
      <c r="W12" s="20"/>
      <c r="X12" s="20"/>
      <c r="Y12" s="20"/>
      <c r="Z12" s="20">
        <f>1 - CUSTOS!$M$24</f>
        <v>1</v>
      </c>
      <c r="AA12" s="20"/>
      <c r="AB12" s="20"/>
    </row>
    <row r="13" spans="1:28" ht="11.25" customHeight="1" x14ac:dyDescent="0.3">
      <c r="A13" s="107"/>
      <c r="B13" s="107"/>
      <c r="C13" s="107"/>
      <c r="D13" s="22" t="s">
        <v>30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106.858</v>
      </c>
      <c r="J13" s="15"/>
      <c r="L13" s="20">
        <f>1 - CUSTOS!$M$25</f>
        <v>1</v>
      </c>
      <c r="M13" s="20">
        <f>1 - CUSTOS!$M$25</f>
        <v>1</v>
      </c>
      <c r="N13" s="20">
        <f>1 - CUSTOS!$M$25</f>
        <v>1</v>
      </c>
      <c r="O13" s="20">
        <f>1 - CUSTOS!$M$25</f>
        <v>1</v>
      </c>
      <c r="P13" s="20">
        <f>1 - CUSTOS!$M$25</f>
        <v>1</v>
      </c>
      <c r="Q13" s="20"/>
      <c r="R13" s="20">
        <f>(1 - CUSTOS!$M$25)*1</f>
        <v>1</v>
      </c>
      <c r="S13" s="20"/>
      <c r="T13" s="20">
        <f>1 - CUSTOS!$M$25</f>
        <v>1</v>
      </c>
      <c r="U13" s="20">
        <f>1 - CUSTOS!$M$25</f>
        <v>1</v>
      </c>
      <c r="V13" s="20">
        <f>1 - CUSTOS!$M$25</f>
        <v>1</v>
      </c>
      <c r="W13" s="20"/>
      <c r="X13" s="20"/>
      <c r="Y13" s="20"/>
      <c r="Z13" s="20">
        <f>1 - CUSTOS!$M$25</f>
        <v>1</v>
      </c>
      <c r="AA13" s="20"/>
      <c r="AB13" s="20"/>
    </row>
    <row r="14" spans="1:28" ht="11.25" customHeight="1" x14ac:dyDescent="0.3">
      <c r="A14" s="107"/>
      <c r="B14" s="107"/>
      <c r="C14" s="107"/>
      <c r="D14" s="22" t="s">
        <v>31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84.406000000000006</v>
      </c>
      <c r="J14" s="15"/>
      <c r="L14" s="20">
        <f>1 - CUSTOS!$M$26</f>
        <v>1</v>
      </c>
      <c r="M14" s="20">
        <f>1 - CUSTOS!$M$26</f>
        <v>1</v>
      </c>
      <c r="N14" s="20">
        <f>1 - CUSTOS!$M$26</f>
        <v>1</v>
      </c>
      <c r="O14" s="20">
        <f>1 - CUSTOS!$M$26</f>
        <v>1</v>
      </c>
      <c r="P14" s="20">
        <f>1 - CUSTOS!$M$26</f>
        <v>1</v>
      </c>
      <c r="Q14" s="20"/>
      <c r="R14" s="20">
        <f>(1 - CUSTOS!$M$26)*1</f>
        <v>1</v>
      </c>
      <c r="S14" s="20"/>
      <c r="T14" s="20">
        <f>1 - CUSTOS!$M$26</f>
        <v>1</v>
      </c>
      <c r="U14" s="20">
        <f>1 - CUSTOS!$M$26</f>
        <v>1</v>
      </c>
      <c r="V14" s="20">
        <f>1 - CUSTOS!$M$26</f>
        <v>1</v>
      </c>
      <c r="W14" s="20"/>
      <c r="X14" s="20"/>
      <c r="Y14" s="20"/>
      <c r="Z14" s="20">
        <f>1 - CUSTOS!$M$26</f>
        <v>1</v>
      </c>
      <c r="AA14" s="20"/>
      <c r="AB14" s="20"/>
    </row>
    <row r="15" spans="1:28" ht="11.25" customHeight="1" x14ac:dyDescent="0.3">
      <c r="A15" s="107"/>
      <c r="B15" s="107"/>
      <c r="C15" s="107"/>
      <c r="D15" s="22" t="s">
        <v>32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19.05</v>
      </c>
      <c r="J15" s="15"/>
      <c r="L15" s="20">
        <f>1 - CUSTOS!$M$27</f>
        <v>1</v>
      </c>
      <c r="M15" s="20">
        <f>1 - CUSTOS!$M$27</f>
        <v>1</v>
      </c>
      <c r="N15" s="20">
        <f>1 - CUSTOS!$M$27</f>
        <v>1</v>
      </c>
      <c r="O15" s="20">
        <f>1 - CUSTOS!$M$27</f>
        <v>1</v>
      </c>
      <c r="P15" s="20">
        <f>1 - CUSTOS!$M$27</f>
        <v>1</v>
      </c>
      <c r="Q15" s="20"/>
      <c r="R15" s="20">
        <f>(1 - CUSTOS!$M$27)*1</f>
        <v>1</v>
      </c>
      <c r="S15" s="20"/>
      <c r="T15" s="20">
        <f>1 - CUSTOS!$M$27</f>
        <v>1</v>
      </c>
      <c r="U15" s="20">
        <f>1 - CUSTOS!$M$27</f>
        <v>1</v>
      </c>
      <c r="V15" s="20">
        <f>1 - CUSTOS!$M$27</f>
        <v>1</v>
      </c>
      <c r="W15" s="20"/>
      <c r="X15" s="20"/>
      <c r="Y15" s="20"/>
      <c r="Z15" s="20">
        <f>1 - CUSTOS!$M$27</f>
        <v>1</v>
      </c>
      <c r="AA15" s="20"/>
      <c r="AB15" s="20"/>
    </row>
    <row r="16" spans="1:28" ht="11.25" customHeight="1" x14ac:dyDescent="0.3">
      <c r="A16" s="107"/>
      <c r="B16" s="107" t="s">
        <v>83</v>
      </c>
      <c r="C16" s="107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/>
      <c r="R16" s="20">
        <v>1</v>
      </c>
      <c r="S16" s="20"/>
      <c r="T16" s="20">
        <v>1</v>
      </c>
      <c r="U16" s="20">
        <v>1</v>
      </c>
      <c r="V16" s="20">
        <v>1</v>
      </c>
      <c r="W16" s="20"/>
      <c r="X16" s="20"/>
      <c r="Y16" s="20"/>
      <c r="Z16" s="20">
        <v>1</v>
      </c>
      <c r="AA16" s="20"/>
      <c r="AB16" s="20"/>
    </row>
    <row r="17" spans="1:28" ht="11.25" customHeight="1" x14ac:dyDescent="0.3">
      <c r="A17" s="107"/>
      <c r="B17" s="107"/>
      <c r="C17" s="107"/>
      <c r="D17" s="22" t="s">
        <v>29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1 - CUSTOS!$M$24</f>
        <v>1</v>
      </c>
      <c r="M17" s="20">
        <f>1 - CUSTOS!$M$24</f>
        <v>1</v>
      </c>
      <c r="N17" s="20">
        <f>1 - CUSTOS!$M$24</f>
        <v>1</v>
      </c>
      <c r="O17" s="20">
        <f>1 - CUSTOS!$M$24</f>
        <v>1</v>
      </c>
      <c r="P17" s="20">
        <f>1 - CUSTOS!$M$24</f>
        <v>1</v>
      </c>
      <c r="Q17" s="20"/>
      <c r="R17" s="20">
        <f>(1 - CUSTOS!$M$24)*1</f>
        <v>1</v>
      </c>
      <c r="S17" s="20"/>
      <c r="T17" s="20">
        <f>1 - CUSTOS!$M$24</f>
        <v>1</v>
      </c>
      <c r="U17" s="20">
        <f>1 - CUSTOS!$M$24</f>
        <v>1</v>
      </c>
      <c r="V17" s="20">
        <f>1 - CUSTOS!$M$24</f>
        <v>1</v>
      </c>
      <c r="W17" s="20"/>
      <c r="X17" s="20"/>
      <c r="Y17" s="20"/>
      <c r="Z17" s="20">
        <f>1 - CUSTOS!$M$24</f>
        <v>1</v>
      </c>
      <c r="AA17" s="20"/>
      <c r="AB17" s="20"/>
    </row>
    <row r="18" spans="1:28" ht="11.25" customHeight="1" x14ac:dyDescent="0.3">
      <c r="A18" s="107"/>
      <c r="B18" s="107"/>
      <c r="C18" s="107"/>
      <c r="D18" s="22" t="s">
        <v>30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1 - CUSTOS!$M$25</f>
        <v>1</v>
      </c>
      <c r="M18" s="20">
        <f>1 - CUSTOS!$M$25</f>
        <v>1</v>
      </c>
      <c r="N18" s="20">
        <f>1 - CUSTOS!$M$25</f>
        <v>1</v>
      </c>
      <c r="O18" s="20">
        <f>1 - CUSTOS!$M$25</f>
        <v>1</v>
      </c>
      <c r="P18" s="20">
        <f>1 - CUSTOS!$M$25</f>
        <v>1</v>
      </c>
      <c r="Q18" s="20"/>
      <c r="R18" s="20">
        <f>(1 - CUSTOS!$M$25)*1</f>
        <v>1</v>
      </c>
      <c r="S18" s="20"/>
      <c r="T18" s="20">
        <f>1 - CUSTOS!$M$25</f>
        <v>1</v>
      </c>
      <c r="U18" s="20">
        <f>1 - CUSTOS!$M$25</f>
        <v>1</v>
      </c>
      <c r="V18" s="20">
        <f>1 - CUSTOS!$M$25</f>
        <v>1</v>
      </c>
      <c r="W18" s="20"/>
      <c r="X18" s="20"/>
      <c r="Y18" s="20"/>
      <c r="Z18" s="20">
        <f>1 - CUSTOS!$M$25</f>
        <v>1</v>
      </c>
      <c r="AA18" s="20"/>
      <c r="AB18" s="20"/>
    </row>
    <row r="19" spans="1:28" ht="11.25" customHeight="1" x14ac:dyDescent="0.3">
      <c r="A19" s="107"/>
      <c r="B19" s="107"/>
      <c r="C19" s="107"/>
      <c r="D19" s="22" t="s">
        <v>31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1 - CUSTOS!$M$26</f>
        <v>1</v>
      </c>
      <c r="M19" s="20">
        <f>1 - CUSTOS!$M$26</f>
        <v>1</v>
      </c>
      <c r="N19" s="20">
        <f>1 - CUSTOS!$M$26</f>
        <v>1</v>
      </c>
      <c r="O19" s="20">
        <f>1 - CUSTOS!$M$26</f>
        <v>1</v>
      </c>
      <c r="P19" s="20">
        <f>1 - CUSTOS!$M$26</f>
        <v>1</v>
      </c>
      <c r="Q19" s="20"/>
      <c r="R19" s="20">
        <f>(1 - CUSTOS!$M$26)*1</f>
        <v>1</v>
      </c>
      <c r="S19" s="20"/>
      <c r="T19" s="20">
        <f>1 - CUSTOS!$M$26</f>
        <v>1</v>
      </c>
      <c r="U19" s="20">
        <f>1 - CUSTOS!$M$26</f>
        <v>1</v>
      </c>
      <c r="V19" s="20">
        <f>1 - CUSTOS!$M$26</f>
        <v>1</v>
      </c>
      <c r="W19" s="20"/>
      <c r="X19" s="20"/>
      <c r="Y19" s="20"/>
      <c r="Z19" s="20">
        <f>1 - CUSTOS!$M$26</f>
        <v>1</v>
      </c>
      <c r="AA19" s="20"/>
      <c r="AB19" s="20"/>
    </row>
    <row r="20" spans="1:28" ht="11.25" customHeight="1" x14ac:dyDescent="0.3">
      <c r="A20" s="107"/>
      <c r="B20" s="107"/>
      <c r="C20" s="107"/>
      <c r="D20" s="22" t="s">
        <v>32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1 - CUSTOS!$M$27</f>
        <v>1</v>
      </c>
      <c r="M20" s="20">
        <f>1 - CUSTOS!$M$27</f>
        <v>1</v>
      </c>
      <c r="N20" s="20">
        <f>1 - CUSTOS!$M$27</f>
        <v>1</v>
      </c>
      <c r="O20" s="20">
        <f>1 - CUSTOS!$M$27</f>
        <v>1</v>
      </c>
      <c r="P20" s="20">
        <f>1 - CUSTOS!$M$27</f>
        <v>1</v>
      </c>
      <c r="Q20" s="20"/>
      <c r="R20" s="20">
        <f>(1 - CUSTOS!$M$27)*1</f>
        <v>1</v>
      </c>
      <c r="S20" s="20"/>
      <c r="T20" s="20">
        <f>1 - CUSTOS!$M$27</f>
        <v>1</v>
      </c>
      <c r="U20" s="20">
        <f>1 - CUSTOS!$M$27</f>
        <v>1</v>
      </c>
      <c r="V20" s="20">
        <f>1 - CUSTOS!$M$27</f>
        <v>1</v>
      </c>
      <c r="W20" s="20"/>
      <c r="X20" s="20"/>
      <c r="Y20" s="20"/>
      <c r="Z20" s="20">
        <f>1 - CUSTOS!$M$27</f>
        <v>1</v>
      </c>
      <c r="AA20" s="20"/>
      <c r="AB20" s="20"/>
    </row>
    <row r="21" spans="1:28" ht="11.25" customHeight="1" x14ac:dyDescent="0.3">
      <c r="A21" s="107" t="s">
        <v>41</v>
      </c>
      <c r="B21" s="107" t="s">
        <v>67</v>
      </c>
      <c r="C21" s="107" t="s">
        <v>42</v>
      </c>
      <c r="D21" s="107" t="s">
        <v>25</v>
      </c>
      <c r="E21" s="107" t="s">
        <v>25</v>
      </c>
      <c r="F21" s="107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3">
      <c r="A22" s="107"/>
      <c r="B22" s="107"/>
      <c r="C22" s="107"/>
      <c r="D22" s="107"/>
      <c r="E22" s="107"/>
      <c r="F22" s="107"/>
      <c r="G22" s="23" t="s">
        <v>82</v>
      </c>
      <c r="H22" s="23" t="s">
        <v>68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3">
      <c r="A23" s="107"/>
      <c r="B23" s="107"/>
      <c r="C23" s="107"/>
      <c r="D23" s="107"/>
      <c r="E23" s="107"/>
      <c r="F23" s="107"/>
      <c r="G23" s="23" t="s">
        <v>70</v>
      </c>
      <c r="H23" s="23" t="s">
        <v>68</v>
      </c>
      <c r="I23" s="23">
        <f>'MERCADO TE'!$U$20</f>
        <v>0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3">
      <c r="A24" s="107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1383.9670000000001</v>
      </c>
      <c r="J24" s="15"/>
      <c r="L24" s="20">
        <f>1 - CUSTOS!$M$28</f>
        <v>1</v>
      </c>
      <c r="M24" s="20">
        <f>1 - CUSTOS!$M$28</f>
        <v>1</v>
      </c>
      <c r="N24" s="20">
        <f>1 - CUSTOS!$M$28</f>
        <v>1</v>
      </c>
      <c r="O24" s="20">
        <f>1 - CUSTOS!$M$28</f>
        <v>1</v>
      </c>
      <c r="P24" s="20">
        <f>1 - CUSTOS!$M$28</f>
        <v>1</v>
      </c>
      <c r="Q24" s="20"/>
      <c r="R24" s="20">
        <f>(1 - CUSTOS!$M$28)*1</f>
        <v>1</v>
      </c>
      <c r="S24" s="20"/>
      <c r="T24" s="20">
        <f>1 - CUSTOS!$M$28</f>
        <v>1</v>
      </c>
      <c r="U24" s="20">
        <f>1 - CUSTOS!$M$28</f>
        <v>1</v>
      </c>
      <c r="V24" s="20">
        <f>1 - CUSTOS!$M$28</f>
        <v>1</v>
      </c>
      <c r="W24" s="20"/>
      <c r="X24" s="20"/>
      <c r="Y24" s="20"/>
      <c r="Z24" s="20">
        <f>1 - CUSTOS!$M$28</f>
        <v>1</v>
      </c>
      <c r="AA24" s="20"/>
      <c r="AB24" s="20"/>
    </row>
    <row r="25" spans="1:28" ht="11.25" customHeight="1" x14ac:dyDescent="0.3">
      <c r="A25" s="107"/>
      <c r="B25" s="107" t="s">
        <v>67</v>
      </c>
      <c r="C25" s="107" t="s">
        <v>42</v>
      </c>
      <c r="D25" s="107" t="s">
        <v>85</v>
      </c>
      <c r="E25" s="107" t="s">
        <v>25</v>
      </c>
      <c r="F25" s="107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3">
      <c r="A26" s="107"/>
      <c r="B26" s="107"/>
      <c r="C26" s="107"/>
      <c r="D26" s="107"/>
      <c r="E26" s="107"/>
      <c r="F26" s="107"/>
      <c r="G26" s="23" t="s">
        <v>82</v>
      </c>
      <c r="H26" s="23" t="s">
        <v>68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3">
      <c r="A27" s="107"/>
      <c r="B27" s="107"/>
      <c r="C27" s="107"/>
      <c r="D27" s="107"/>
      <c r="E27" s="107"/>
      <c r="F27" s="107"/>
      <c r="G27" s="23" t="s">
        <v>70</v>
      </c>
      <c r="H27" s="23" t="s">
        <v>68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3">
      <c r="A28" s="107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1 - CUSTOS!$M$29</f>
        <v>1</v>
      </c>
      <c r="M28" s="20">
        <f>1 - CUSTOS!$M$29</f>
        <v>1</v>
      </c>
      <c r="N28" s="20">
        <f>1 - CUSTOS!$M$29</f>
        <v>1</v>
      </c>
      <c r="O28" s="20">
        <f>1 - CUSTOS!$M$29</f>
        <v>1</v>
      </c>
      <c r="P28" s="20">
        <f>1 - CUSTOS!$M$29</f>
        <v>1</v>
      </c>
      <c r="Q28" s="20"/>
      <c r="R28" s="20">
        <f>(1 - CUSTOS!$M$29)*1</f>
        <v>1</v>
      </c>
      <c r="S28" s="20"/>
      <c r="T28" s="20">
        <f>1 - CUSTOS!$M$29</f>
        <v>1</v>
      </c>
      <c r="U28" s="20">
        <f>1 - CUSTOS!$M$29</f>
        <v>1</v>
      </c>
      <c r="V28" s="20">
        <f>1 - CUSTOS!$M$29</f>
        <v>1</v>
      </c>
      <c r="W28" s="20"/>
      <c r="X28" s="20"/>
      <c r="Y28" s="20"/>
      <c r="Z28" s="20">
        <f>1 - CUSTOS!$M$29</f>
        <v>1</v>
      </c>
      <c r="AA28" s="20"/>
      <c r="AB28" s="20"/>
    </row>
    <row r="29" spans="1:28" ht="11.25" customHeight="1" x14ac:dyDescent="0.3">
      <c r="A29" s="107"/>
      <c r="B29" s="107" t="s">
        <v>67</v>
      </c>
      <c r="C29" s="107" t="s">
        <v>42</v>
      </c>
      <c r="D29" s="107" t="s">
        <v>86</v>
      </c>
      <c r="E29" s="107" t="s">
        <v>25</v>
      </c>
      <c r="F29" s="107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3">
      <c r="A30" s="107"/>
      <c r="B30" s="107"/>
      <c r="C30" s="107"/>
      <c r="D30" s="107"/>
      <c r="E30" s="107"/>
      <c r="F30" s="107"/>
      <c r="G30" s="23" t="s">
        <v>82</v>
      </c>
      <c r="H30" s="23" t="s">
        <v>68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3">
      <c r="A31" s="107"/>
      <c r="B31" s="107"/>
      <c r="C31" s="107"/>
      <c r="D31" s="107"/>
      <c r="E31" s="107"/>
      <c r="F31" s="107"/>
      <c r="G31" s="23" t="s">
        <v>70</v>
      </c>
      <c r="H31" s="23" t="s">
        <v>68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3">
      <c r="A32" s="107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1 - CUSTOS!$M$30</f>
        <v>1</v>
      </c>
      <c r="M32" s="20">
        <f>1 - CUSTOS!$M$30</f>
        <v>1</v>
      </c>
      <c r="N32" s="20">
        <f>1 - CUSTOS!$M$30</f>
        <v>1</v>
      </c>
      <c r="O32" s="20">
        <f>1 - CUSTOS!$M$30</f>
        <v>1</v>
      </c>
      <c r="P32" s="20">
        <f>1 - CUSTOS!$M$30</f>
        <v>1</v>
      </c>
      <c r="Q32" s="20"/>
      <c r="R32" s="20">
        <f>(1 - CUSTOS!$M$30)*1</f>
        <v>1</v>
      </c>
      <c r="S32" s="20"/>
      <c r="T32" s="20">
        <f>1 - CUSTOS!$M$30</f>
        <v>1</v>
      </c>
      <c r="U32" s="20">
        <f>1 - CUSTOS!$M$30</f>
        <v>1</v>
      </c>
      <c r="V32" s="20">
        <f>1 - CUSTOS!$M$30</f>
        <v>1</v>
      </c>
      <c r="W32" s="20"/>
      <c r="X32" s="20"/>
      <c r="Y32" s="20"/>
      <c r="Z32" s="20">
        <f>1 - CUSTOS!$M$30</f>
        <v>1</v>
      </c>
      <c r="AA32" s="20"/>
      <c r="AB32" s="20"/>
    </row>
    <row r="33" spans="1:28" ht="11.25" customHeight="1" x14ac:dyDescent="0.3">
      <c r="A33" s="107"/>
      <c r="B33" s="107" t="s">
        <v>83</v>
      </c>
      <c r="C33" s="107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1 - CUSTOS!$M$28</f>
        <v>1</v>
      </c>
      <c r="M33" s="20">
        <f>1 - CUSTOS!$M$28</f>
        <v>1</v>
      </c>
      <c r="N33" s="20">
        <f>1 - CUSTOS!$M$28</f>
        <v>1</v>
      </c>
      <c r="O33" s="20">
        <f>1 - CUSTOS!$M$28</f>
        <v>1</v>
      </c>
      <c r="P33" s="20">
        <f>1 - CUSTOS!$M$28</f>
        <v>1</v>
      </c>
      <c r="Q33" s="20"/>
      <c r="R33" s="20">
        <f>(1 - CUSTOS!$M$28)*1</f>
        <v>1</v>
      </c>
      <c r="S33" s="20"/>
      <c r="T33" s="20">
        <f>1 - CUSTOS!$M$28</f>
        <v>1</v>
      </c>
      <c r="U33" s="20">
        <f>1 - CUSTOS!$M$28</f>
        <v>1</v>
      </c>
      <c r="V33" s="20">
        <f>1 - CUSTOS!$M$28</f>
        <v>1</v>
      </c>
      <c r="W33" s="20"/>
      <c r="X33" s="20"/>
      <c r="Y33" s="20"/>
      <c r="Z33" s="20">
        <f>1 - CUSTOS!$M$28</f>
        <v>1</v>
      </c>
      <c r="AA33" s="20"/>
      <c r="AB33" s="20"/>
    </row>
    <row r="34" spans="1:28" ht="11.25" customHeight="1" x14ac:dyDescent="0.3">
      <c r="A34" s="107"/>
      <c r="B34" s="107"/>
      <c r="C34" s="107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1 - CUSTOS!$M$29</f>
        <v>1</v>
      </c>
      <c r="M34" s="20">
        <f>1 - CUSTOS!$M$29</f>
        <v>1</v>
      </c>
      <c r="N34" s="20">
        <f>1 - CUSTOS!$M$29</f>
        <v>1</v>
      </c>
      <c r="O34" s="20">
        <f>1 - CUSTOS!$M$29</f>
        <v>1</v>
      </c>
      <c r="P34" s="20">
        <f>1 - CUSTOS!$M$29</f>
        <v>1</v>
      </c>
      <c r="Q34" s="20"/>
      <c r="R34" s="20">
        <f>(1 - CUSTOS!$M$29)*1</f>
        <v>1</v>
      </c>
      <c r="S34" s="20"/>
      <c r="T34" s="20">
        <f>1 - CUSTOS!$M$29</f>
        <v>1</v>
      </c>
      <c r="U34" s="20">
        <f>1 - CUSTOS!$M$29</f>
        <v>1</v>
      </c>
      <c r="V34" s="20">
        <f>1 - CUSTOS!$M$29</f>
        <v>1</v>
      </c>
      <c r="W34" s="20"/>
      <c r="X34" s="20"/>
      <c r="Y34" s="20"/>
      <c r="Z34" s="20">
        <f>1 - CUSTOS!$M$29</f>
        <v>1</v>
      </c>
      <c r="AA34" s="20"/>
      <c r="AB34" s="20"/>
    </row>
    <row r="35" spans="1:28" ht="11.25" customHeight="1" x14ac:dyDescent="0.3">
      <c r="A35" s="107"/>
      <c r="B35" s="107"/>
      <c r="C35" s="107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1 - CUSTOS!$M$30</f>
        <v>1</v>
      </c>
      <c r="M35" s="20">
        <f>1 - CUSTOS!$M$30</f>
        <v>1</v>
      </c>
      <c r="N35" s="20">
        <f>1 - CUSTOS!$M$30</f>
        <v>1</v>
      </c>
      <c r="O35" s="20">
        <f>1 - CUSTOS!$M$30</f>
        <v>1</v>
      </c>
      <c r="P35" s="20">
        <f>1 - CUSTOS!$M$30</f>
        <v>1</v>
      </c>
      <c r="Q35" s="20"/>
      <c r="R35" s="20">
        <f>(1 - CUSTOS!$M$30)*1</f>
        <v>1</v>
      </c>
      <c r="S35" s="20"/>
      <c r="T35" s="20">
        <f>1 - CUSTOS!$M$30</f>
        <v>1</v>
      </c>
      <c r="U35" s="20">
        <f>1 - CUSTOS!$M$30</f>
        <v>1</v>
      </c>
      <c r="V35" s="20">
        <f>1 - CUSTOS!$M$30</f>
        <v>1</v>
      </c>
      <c r="W35" s="20"/>
      <c r="X35" s="20"/>
      <c r="Y35" s="20"/>
      <c r="Z35" s="20">
        <f>1 - CUSTOS!$M$30</f>
        <v>1</v>
      </c>
      <c r="AA35" s="20"/>
      <c r="AB35" s="20"/>
    </row>
    <row r="36" spans="1:28" ht="11.25" customHeight="1" x14ac:dyDescent="0.3">
      <c r="A36" s="107" t="s">
        <v>36</v>
      </c>
      <c r="B36" s="107" t="s">
        <v>67</v>
      </c>
      <c r="C36" s="107" t="s">
        <v>25</v>
      </c>
      <c r="D36" s="107" t="s">
        <v>25</v>
      </c>
      <c r="E36" s="107" t="s">
        <v>25</v>
      </c>
      <c r="F36" s="107" t="s">
        <v>25</v>
      </c>
      <c r="G36" s="23" t="s">
        <v>69</v>
      </c>
      <c r="H36" s="23" t="s">
        <v>68</v>
      </c>
      <c r="I36" s="23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3">
      <c r="A37" s="107"/>
      <c r="B37" s="107"/>
      <c r="C37" s="107"/>
      <c r="D37" s="107"/>
      <c r="E37" s="107"/>
      <c r="F37" s="107"/>
      <c r="G37" s="23" t="s">
        <v>82</v>
      </c>
      <c r="H37" s="23" t="s">
        <v>68</v>
      </c>
      <c r="I37" s="23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3">
      <c r="A38" s="107"/>
      <c r="B38" s="107"/>
      <c r="C38" s="107"/>
      <c r="D38" s="107"/>
      <c r="E38" s="107"/>
      <c r="F38" s="107"/>
      <c r="G38" s="23" t="s">
        <v>70</v>
      </c>
      <c r="H38" s="23" t="s">
        <v>68</v>
      </c>
      <c r="I38" s="23">
        <f>'MERCADO TE'!$U$35</f>
        <v>0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3">
      <c r="A39" s="107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643.45600000000002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3">
      <c r="A40" s="107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1 - CUSTOS!$M$31</f>
        <v>1</v>
      </c>
      <c r="M40" s="20">
        <f>1 - CUSTOS!$M$31</f>
        <v>1</v>
      </c>
      <c r="N40" s="20">
        <f>1 - CUSTOS!$M$31</f>
        <v>1</v>
      </c>
      <c r="O40" s="20">
        <f>1 - CUSTOS!$M$31</f>
        <v>1</v>
      </c>
      <c r="P40" s="20">
        <f>1 - CUSTOS!$M$31</f>
        <v>1</v>
      </c>
      <c r="Q40" s="20"/>
      <c r="R40" s="20">
        <f>(1 - CUSTOS!$M$31)*1</f>
        <v>1</v>
      </c>
      <c r="S40" s="20"/>
      <c r="T40" s="20">
        <f>1 - CUSTOS!$M$31</f>
        <v>1</v>
      </c>
      <c r="U40" s="20">
        <f>1 - CUSTOS!$M$31</f>
        <v>1</v>
      </c>
      <c r="V40" s="20">
        <f>1 - CUSTOS!$M$31</f>
        <v>1</v>
      </c>
      <c r="W40" s="20"/>
      <c r="X40" s="20"/>
      <c r="Y40" s="20"/>
      <c r="Z40" s="20">
        <f>1 - CUSTOS!$M$31</f>
        <v>1</v>
      </c>
      <c r="AA40" s="20"/>
      <c r="AB40" s="20"/>
    </row>
    <row r="41" spans="1:28" ht="11.25" customHeight="1" x14ac:dyDescent="0.3">
      <c r="A41" s="107" t="s">
        <v>44</v>
      </c>
      <c r="B41" s="107" t="s">
        <v>71</v>
      </c>
      <c r="C41" s="107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546.72599999999989</v>
      </c>
      <c r="J41" s="15"/>
      <c r="L41" s="20">
        <f>1 - CUSTOS!$M$32</f>
        <v>0.55000000000000004</v>
      </c>
      <c r="M41" s="20">
        <f>1 - CUSTOS!$M$32</f>
        <v>0.55000000000000004</v>
      </c>
      <c r="N41" s="20">
        <f>1 - CUSTOS!$M$32</f>
        <v>0.55000000000000004</v>
      </c>
      <c r="O41" s="20">
        <f>1 - CUSTOS!$M$32</f>
        <v>0.55000000000000004</v>
      </c>
      <c r="P41" s="20">
        <f>1 - CUSTOS!$M$32</f>
        <v>0.55000000000000004</v>
      </c>
      <c r="Q41" s="20"/>
      <c r="R41" s="20">
        <f>(1 - CUSTOS!$M$32)*1</f>
        <v>0.55000000000000004</v>
      </c>
      <c r="S41" s="20"/>
      <c r="T41" s="20">
        <f>1 - CUSTOS!$M$32</f>
        <v>0.55000000000000004</v>
      </c>
      <c r="U41" s="20">
        <f>1 - CUSTOS!$M$32</f>
        <v>0.55000000000000004</v>
      </c>
      <c r="V41" s="20">
        <f>1 - CUSTOS!$M$32</f>
        <v>0.55000000000000004</v>
      </c>
      <c r="W41" s="20"/>
      <c r="X41" s="20"/>
      <c r="Y41" s="20"/>
      <c r="Z41" s="20">
        <f>1 - CUSTOS!$M$32</f>
        <v>0.55000000000000004</v>
      </c>
      <c r="AA41" s="20"/>
      <c r="AB41" s="20"/>
    </row>
    <row r="42" spans="1:28" ht="11.25" customHeight="1" x14ac:dyDescent="0.3">
      <c r="A42" s="107"/>
      <c r="B42" s="107"/>
      <c r="C42" s="107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1 - CUSTOS!$M$33</f>
        <v>0.6</v>
      </c>
      <c r="M42" s="20">
        <f>1 - CUSTOS!$M$33</f>
        <v>0.6</v>
      </c>
      <c r="N42" s="20">
        <f>1 - CUSTOS!$M$33</f>
        <v>0.6</v>
      </c>
      <c r="O42" s="20">
        <f>1 - CUSTOS!$M$33</f>
        <v>0.6</v>
      </c>
      <c r="P42" s="20">
        <f>1 - CUSTOS!$M$33</f>
        <v>0.6</v>
      </c>
      <c r="Q42" s="20"/>
      <c r="R42" s="20">
        <f>(1 - CUSTOS!$M$33)*1</f>
        <v>0.6</v>
      </c>
      <c r="S42" s="20"/>
      <c r="T42" s="20">
        <f>1 - CUSTOS!$M$33</f>
        <v>0.6</v>
      </c>
      <c r="U42" s="20">
        <f>1 - CUSTOS!$M$33</f>
        <v>0.6</v>
      </c>
      <c r="V42" s="20">
        <f>1 - CUSTOS!$M$33</f>
        <v>0.6</v>
      </c>
      <c r="W42" s="20"/>
      <c r="X42" s="20"/>
      <c r="Y42" s="20"/>
      <c r="Z42" s="20">
        <f>1 - CUSTOS!$M$33</f>
        <v>0.6</v>
      </c>
      <c r="AA42" s="20"/>
      <c r="AB42" s="20"/>
    </row>
    <row r="44" spans="1:28" ht="11.25" customHeight="1" x14ac:dyDescent="0.3">
      <c r="K44" s="25" t="s">
        <v>518</v>
      </c>
      <c r="L44" s="20">
        <f t="shared" ref="L44:AB44" si="0">SUMPRODUCT($I$5:$I$42,L$5:L$42)</f>
        <v>10855.340300000002</v>
      </c>
      <c r="M44" s="20">
        <f t="shared" si="0"/>
        <v>10855.340300000002</v>
      </c>
      <c r="N44" s="20">
        <f t="shared" si="0"/>
        <v>10855.340300000002</v>
      </c>
      <c r="O44" s="20">
        <f t="shared" si="0"/>
        <v>10855.340300000002</v>
      </c>
      <c r="P44" s="20">
        <f t="shared" si="0"/>
        <v>10855.340300000002</v>
      </c>
      <c r="Q44" s="20">
        <f t="shared" si="0"/>
        <v>0</v>
      </c>
      <c r="R44" s="20">
        <f t="shared" si="0"/>
        <v>10855.340300000002</v>
      </c>
      <c r="S44" s="20">
        <f t="shared" si="0"/>
        <v>0</v>
      </c>
      <c r="T44" s="20">
        <f t="shared" si="0"/>
        <v>10855.340300000002</v>
      </c>
      <c r="U44" s="20">
        <f t="shared" si="0"/>
        <v>10855.340300000002</v>
      </c>
      <c r="V44" s="20">
        <f t="shared" si="0"/>
        <v>10855.340300000002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10855.340300000002</v>
      </c>
      <c r="AA44" s="20">
        <f t="shared" si="0"/>
        <v>0</v>
      </c>
      <c r="AB44" s="20">
        <f t="shared" si="0"/>
        <v>0</v>
      </c>
    </row>
    <row r="45" spans="1:28" ht="11.25" customHeight="1" x14ac:dyDescent="0.3">
      <c r="K45" s="25" t="s">
        <v>437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2984438.2373716203</v>
      </c>
      <c r="S45" s="20">
        <f>CUSTOS!$D$37</f>
        <v>2984438.2373716203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2984438.2373716203</v>
      </c>
    </row>
    <row r="46" spans="1:28" ht="11.25" customHeight="1" x14ac:dyDescent="0.3">
      <c r="K46" s="25" t="s">
        <v>438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-62078.650961011466</v>
      </c>
      <c r="S46" s="20">
        <f>CUSTOS!$E$37</f>
        <v>-62078.650961011466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-62078.650961011466</v>
      </c>
    </row>
    <row r="47" spans="1:28" ht="11.25" customHeight="1" x14ac:dyDescent="0.3">
      <c r="K47" s="25" t="s">
        <v>439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519</v>
      </c>
      <c r="L48" s="20">
        <f>IF(SUMPRODUCT($I$5:$I$42,$L$5:$L$42)&lt;&gt;0,L45/SUMPRODUCT($I$5:$I$42,$L$5:$L$42),0)</f>
        <v>0</v>
      </c>
      <c r="M48" s="20">
        <f>IF(SUMPRODUCT($I$5:$I$42,$M$5:$M$42)&lt;&gt;0,M45/SUMPRODUCT($I$5:$I$42,$M$5:$M$42),0)</f>
        <v>0</v>
      </c>
      <c r="N48" s="20">
        <f>IF(SUMPRODUCT($I$5:$I$42,$N$5:$N$42)&lt;&gt;0,N45/SUMPRODUCT($I$5:$I$42,$N$5:$N$42),0)</f>
        <v>0</v>
      </c>
      <c r="O48" s="20">
        <f>IF(SUMPRODUCT($I$5:$I$42,$O$5:$O$42)&lt;&gt;0,O45/SUMPRODUCT($I$5:$I$42,$O$5:$O$42),0)</f>
        <v>0</v>
      </c>
      <c r="P48" s="20">
        <f>IF(SUMPRODUCT($I$5:$I$42,$P$5:$P$42)&lt;&gt;0,P45/SUMPRODUCT($I$5:$I$42,$P$5:$P$42),0)</f>
        <v>0</v>
      </c>
      <c r="Q48" s="20"/>
      <c r="R48" s="20">
        <f>IF((CUSTOS!$M$12-CUSTOS!$M$13)&lt;&gt;0,(CUSTOS!$M$12*CUSTOS!$M$14)/(CUSTOS!$M$12-CUSTOS!$M$13),0)</f>
        <v>277.02999999999997</v>
      </c>
      <c r="S48" s="20"/>
      <c r="T48" s="20">
        <f>IF(SUMPRODUCT($I$5:$I$42,$T$5:$T$42)&lt;&gt;0,T45/SUMPRODUCT($I$5:$I$42,$T$5:$T$42),0)</f>
        <v>0</v>
      </c>
      <c r="U48" s="20">
        <f>IF(SUMPRODUCT($I$5:$I$42,$U$5:$U$42)&lt;&gt;0,U45/SUMPRODUCT($I$5:$I$42,$U$5:$U$42),0)</f>
        <v>0</v>
      </c>
      <c r="V48" s="20">
        <f>IF(SUMPRODUCT($I$5:$I$42,$V$5:$V$42)&lt;&gt;0,V45/SUMPRODUCT($I$5:$I$42,$V$5:$V$42),0)</f>
        <v>0</v>
      </c>
      <c r="W48" s="20"/>
      <c r="X48" s="20">
        <f>IF(SUMPRODUCT($I$5:$I$42,$X$5:$X$42)&lt;&gt;0,X45/SUMPRODUCT($I$5:$I$42,$X$5:$X$42),0)</f>
        <v>0</v>
      </c>
      <c r="Y48" s="20"/>
      <c r="Z48" s="20">
        <f>IF(SUMPRODUCT($I$5:$I$42,$Z$5:$Z$42)&lt;&gt;0,Z45/SUMPRODUCT($I$5:$I$42,$Z$5:$Z$42),0)</f>
        <v>0</v>
      </c>
      <c r="AA48" s="20"/>
      <c r="AB48" s="20"/>
    </row>
    <row r="49" spans="11:28" ht="11.25" customHeight="1" x14ac:dyDescent="0.3">
      <c r="K49" s="25" t="s">
        <v>520</v>
      </c>
      <c r="L49" s="20">
        <f>IF(L44&lt;&gt;0,(L45-L48*0)/(L44-0),0)</f>
        <v>0</v>
      </c>
      <c r="M49" s="20">
        <f>IF(M44&lt;&gt;0,(M45-M48*0)/(M44-0),0)</f>
        <v>0</v>
      </c>
      <c r="N49" s="20">
        <f>IF(N44&lt;&gt;0,(N45-N48*0)/(N44-0),0)</f>
        <v>0</v>
      </c>
      <c r="O49" s="20">
        <f>IF(O44&lt;&gt;0,(O45-O48*0)/(O44-0),0)</f>
        <v>0</v>
      </c>
      <c r="P49" s="20">
        <f>IF(P44&lt;&gt;0,(P45-P48*0)/(P44-0),0)</f>
        <v>0</v>
      </c>
      <c r="Q49" s="20"/>
      <c r="R49" s="20">
        <f>IF(R44&lt;&gt;0,(R45-R48*0)/(R44-0),0)</f>
        <v>274.92811417175193</v>
      </c>
      <c r="S49" s="20"/>
      <c r="T49" s="20">
        <f>IF(T44&lt;&gt;0,(T45-T48*0)/(T44-0),0)</f>
        <v>0</v>
      </c>
      <c r="U49" s="20">
        <f>IF(U44&lt;&gt;0,(U45-U48*0)/(U44-0),0)</f>
        <v>0</v>
      </c>
      <c r="V49" s="20">
        <f>IF(V44&lt;&gt;0,(V45-V48*0)/(V44-0),0)</f>
        <v>0</v>
      </c>
      <c r="W49" s="20"/>
      <c r="X49" s="20">
        <f>IF(X44&lt;&gt;0,(X45-X48*0)/(X44-0),0)</f>
        <v>0</v>
      </c>
      <c r="Y49" s="20"/>
      <c r="Z49" s="20">
        <f>IF(Z44&lt;&gt;0,(Z45-Z48*0)/(Z44-0),0)</f>
        <v>0</v>
      </c>
      <c r="AA49" s="20"/>
      <c r="AB49" s="20"/>
    </row>
    <row r="50" spans="11:28" ht="11.25" customHeight="1" x14ac:dyDescent="0.3">
      <c r="K50" s="25" t="s">
        <v>521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F5:F6"/>
    <mergeCell ref="A5:A7"/>
    <mergeCell ref="B5:B6"/>
    <mergeCell ref="C5:C6"/>
    <mergeCell ref="D5:D6"/>
    <mergeCell ref="E5:E6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B43-1A84-472F-B015-64C973BDCBAE}">
  <dimension ref="A1:AB50"/>
  <sheetViews>
    <sheetView showGridLines="0" topLeftCell="G26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6.33203125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6.77734375" style="9" bestFit="1" customWidth="1"/>
    <col min="10" max="10" width="8.88671875" style="9"/>
    <col min="11" max="11" width="19.88671875" style="9" bestFit="1" customWidth="1"/>
    <col min="12" max="14" width="7.6640625" style="9" bestFit="1" customWidth="1"/>
    <col min="15" max="15" width="10.77734375" style="9" bestFit="1" customWidth="1"/>
    <col min="16" max="16" width="7.88671875" style="9" bestFit="1" customWidth="1"/>
    <col min="17" max="17" width="9" style="9" bestFit="1" customWidth="1"/>
    <col min="18" max="18" width="14.5546875" style="9" bestFit="1" customWidth="1"/>
    <col min="19" max="19" width="9.6640625" style="9" bestFit="1" customWidth="1"/>
    <col min="20" max="20" width="7.6640625" style="9" bestFit="1" customWidth="1"/>
    <col min="21" max="21" width="10.109375" style="9" bestFit="1" customWidth="1"/>
    <col min="22" max="22" width="7.6640625" style="9" bestFit="1" customWidth="1"/>
    <col min="23" max="23" width="9" style="9" bestFit="1" customWidth="1"/>
    <col min="24" max="24" width="7.77734375" style="9" bestFit="1" customWidth="1"/>
    <col min="25" max="25" width="9" style="9" bestFit="1" customWidth="1"/>
    <col min="26" max="26" width="10.6640625" style="9" bestFit="1" customWidth="1"/>
    <col min="27" max="27" width="9" style="9" bestFit="1" customWidth="1"/>
    <col min="28" max="28" width="9.6640625" style="9" bestFit="1" customWidth="1"/>
    <col min="29" max="16384" width="8.88671875" style="9"/>
  </cols>
  <sheetData>
    <row r="1" spans="1:28" ht="11.25" customHeight="1" x14ac:dyDescent="0.3">
      <c r="A1" s="106" t="s">
        <v>58</v>
      </c>
      <c r="B1" s="106" t="s">
        <v>59</v>
      </c>
      <c r="C1" s="106" t="s">
        <v>60</v>
      </c>
      <c r="D1" s="106" t="s">
        <v>61</v>
      </c>
      <c r="E1" s="106" t="s">
        <v>62</v>
      </c>
      <c r="F1" s="106" t="s">
        <v>15</v>
      </c>
      <c r="G1" s="106" t="s">
        <v>64</v>
      </c>
      <c r="H1" s="106" t="s">
        <v>65</v>
      </c>
      <c r="I1" s="106" t="s">
        <v>496</v>
      </c>
      <c r="J1" s="94"/>
      <c r="L1" s="104" t="s">
        <v>522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94"/>
      <c r="L2" s="104" t="s">
        <v>423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6"/>
      <c r="B3" s="106"/>
      <c r="C3" s="106"/>
      <c r="D3" s="106"/>
      <c r="E3" s="106"/>
      <c r="F3" s="106"/>
      <c r="G3" s="106"/>
      <c r="H3" s="106"/>
      <c r="I3" s="106"/>
      <c r="J3" s="94"/>
      <c r="L3" s="104" t="s">
        <v>396</v>
      </c>
      <c r="M3" s="104"/>
      <c r="N3" s="104"/>
      <c r="O3" s="104"/>
      <c r="P3" s="104"/>
      <c r="Q3" s="104"/>
      <c r="R3" s="104" t="s">
        <v>427</v>
      </c>
      <c r="S3" s="104"/>
      <c r="T3" s="104" t="s">
        <v>405</v>
      </c>
      <c r="U3" s="104"/>
      <c r="V3" s="104"/>
      <c r="W3" s="104"/>
      <c r="X3" s="104" t="s">
        <v>415</v>
      </c>
      <c r="Y3" s="104"/>
      <c r="Z3" s="104" t="s">
        <v>418</v>
      </c>
      <c r="AA3" s="104"/>
      <c r="AB3" s="104" t="s">
        <v>404</v>
      </c>
    </row>
    <row r="4" spans="1:28" ht="11.25" customHeight="1" x14ac:dyDescent="0.3">
      <c r="A4" s="106"/>
      <c r="B4" s="106"/>
      <c r="C4" s="106"/>
      <c r="D4" s="106"/>
      <c r="E4" s="106"/>
      <c r="F4" s="106"/>
      <c r="G4" s="106"/>
      <c r="H4" s="106"/>
      <c r="I4" s="106"/>
      <c r="J4" s="94"/>
      <c r="L4" s="24" t="s">
        <v>398</v>
      </c>
      <c r="M4" s="24" t="s">
        <v>424</v>
      </c>
      <c r="N4" s="24" t="s">
        <v>425</v>
      </c>
      <c r="O4" s="24" t="s">
        <v>484</v>
      </c>
      <c r="P4" s="24" t="s">
        <v>426</v>
      </c>
      <c r="Q4" s="24" t="s">
        <v>404</v>
      </c>
      <c r="R4" s="24" t="s">
        <v>428</v>
      </c>
      <c r="S4" s="24" t="s">
        <v>404</v>
      </c>
      <c r="T4" s="24" t="s">
        <v>429</v>
      </c>
      <c r="U4" s="24" t="s">
        <v>430</v>
      </c>
      <c r="V4" s="24" t="s">
        <v>431</v>
      </c>
      <c r="W4" s="24" t="s">
        <v>404</v>
      </c>
      <c r="X4" s="24" t="s">
        <v>416</v>
      </c>
      <c r="Y4" s="24" t="s">
        <v>404</v>
      </c>
      <c r="Z4" s="24" t="s">
        <v>432</v>
      </c>
      <c r="AA4" s="24" t="s">
        <v>404</v>
      </c>
      <c r="AB4" s="105"/>
    </row>
    <row r="5" spans="1:28" ht="11.25" customHeight="1" x14ac:dyDescent="0.3">
      <c r="A5" s="107" t="s">
        <v>38</v>
      </c>
      <c r="B5" s="107" t="s">
        <v>67</v>
      </c>
      <c r="C5" s="107" t="s">
        <v>25</v>
      </c>
      <c r="D5" s="107" t="s">
        <v>25</v>
      </c>
      <c r="E5" s="107" t="s">
        <v>25</v>
      </c>
      <c r="F5" s="107" t="s">
        <v>25</v>
      </c>
      <c r="G5" s="23" t="s">
        <v>69</v>
      </c>
      <c r="H5" s="23" t="s">
        <v>68</v>
      </c>
      <c r="I5" s="23">
        <f>'MERCADO TE'!$U$2</f>
        <v>257.68899999999996</v>
      </c>
      <c r="J5" s="15"/>
      <c r="L5" s="20">
        <f>'TR TE'!$L$5*'TR TE'!$L$49</f>
        <v>0</v>
      </c>
      <c r="M5" s="20">
        <f>'TR TE'!$M$5*'TR TE'!$M$49</f>
        <v>0</v>
      </c>
      <c r="N5" s="20">
        <f>'TR TE'!$N$5*'TR TE'!$N$49</f>
        <v>0</v>
      </c>
      <c r="O5" s="20">
        <f>'TR TE'!$O$5*'TR TE'!$O$49</f>
        <v>0</v>
      </c>
      <c r="P5" s="20">
        <f>'TR TE'!$P$5*'TR TE'!$P$49</f>
        <v>0</v>
      </c>
      <c r="Q5" s="20">
        <f>SUM($L$5:$P$5)</f>
        <v>0</v>
      </c>
      <c r="R5" s="20">
        <f>'TR TE'!$R$5*'TR TE'!$R$49</f>
        <v>274.92811417175193</v>
      </c>
      <c r="S5" s="20">
        <f>SUM($R$5:$R$5)</f>
        <v>274.92811417175193</v>
      </c>
      <c r="T5" s="20">
        <f>'TR TE'!$T$5*'TR TE'!$T$49</f>
        <v>0</v>
      </c>
      <c r="U5" s="20">
        <f>'TR TE'!$U$5*'TR TE'!$U$49</f>
        <v>0</v>
      </c>
      <c r="V5" s="20">
        <f>'TR TE'!$V$5*'TR TE'!$V$49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TE'!$Z$49</f>
        <v>0</v>
      </c>
      <c r="AA5" s="20">
        <f>SUM($Z$5:$Z$5)</f>
        <v>0</v>
      </c>
      <c r="AB5" s="20">
        <f>SUMIF($L$4:$AA$4,"SUBTOTAL",$L$5:$AA$5)</f>
        <v>274.92811417175193</v>
      </c>
    </row>
    <row r="6" spans="1:28" ht="11.25" customHeight="1" x14ac:dyDescent="0.3">
      <c r="A6" s="107"/>
      <c r="B6" s="107"/>
      <c r="C6" s="107"/>
      <c r="D6" s="107"/>
      <c r="E6" s="107"/>
      <c r="F6" s="107"/>
      <c r="G6" s="23" t="s">
        <v>70</v>
      </c>
      <c r="H6" s="23" t="s">
        <v>68</v>
      </c>
      <c r="I6" s="23">
        <f>'MERCADO TE'!$U$3</f>
        <v>2720.0279999999998</v>
      </c>
      <c r="J6" s="15"/>
      <c r="L6" s="20">
        <f>'TR TE'!$L$6*'TR TE'!$L$49</f>
        <v>0</v>
      </c>
      <c r="M6" s="20">
        <f>'TR TE'!$M$6*'TR TE'!$M$49</f>
        <v>0</v>
      </c>
      <c r="N6" s="20">
        <f>'TR TE'!$N$6*'TR TE'!$N$49</f>
        <v>0</v>
      </c>
      <c r="O6" s="20">
        <f>'TR TE'!$O$6*'TR TE'!$O$49</f>
        <v>0</v>
      </c>
      <c r="P6" s="20">
        <f>'TR TE'!$P$6*'TR TE'!$P$49</f>
        <v>0</v>
      </c>
      <c r="Q6" s="20">
        <f>SUM($L$6:$P$6)</f>
        <v>0</v>
      </c>
      <c r="R6" s="20">
        <f>'TR TE'!$R$6*'TR TE'!$R$49</f>
        <v>274.92811417175193</v>
      </c>
      <c r="S6" s="20">
        <f>SUM($R$6:$R$6)</f>
        <v>274.92811417175193</v>
      </c>
      <c r="T6" s="20">
        <f>'TR TE'!$T$6*'TR TE'!$T$49</f>
        <v>0</v>
      </c>
      <c r="U6" s="20">
        <f>'TR TE'!$U$6*'TR TE'!$U$49</f>
        <v>0</v>
      </c>
      <c r="V6" s="20">
        <f>'TR TE'!$V$6*'TR TE'!$V$49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TE'!$Z$49</f>
        <v>0</v>
      </c>
      <c r="AA6" s="20">
        <f>SUM($Z$6:$Z$6)</f>
        <v>0</v>
      </c>
      <c r="AB6" s="20">
        <f>SUMIF($L$4:$AA$4,"SUBTOTAL",$L$6:$AA$6)</f>
        <v>274.92811417175193</v>
      </c>
    </row>
    <row r="7" spans="1:28" ht="11.25" customHeight="1" x14ac:dyDescent="0.3">
      <c r="A7" s="107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'TR TE'!$L$7*'TR TE'!$L$49</f>
        <v>0</v>
      </c>
      <c r="M7" s="20">
        <f>'TR TE'!$M$7*'TR TE'!$M$49</f>
        <v>0</v>
      </c>
      <c r="N7" s="20">
        <f>'TR TE'!$N$7*'TR TE'!$N$49</f>
        <v>0</v>
      </c>
      <c r="O7" s="20">
        <f>'TR TE'!$O$7*'TR TE'!$O$49</f>
        <v>0</v>
      </c>
      <c r="P7" s="20">
        <f>'TR TE'!$P$7*'TR TE'!$P$49</f>
        <v>0</v>
      </c>
      <c r="Q7" s="20">
        <f>SUM($L$7:$P$7)</f>
        <v>0</v>
      </c>
      <c r="R7" s="20">
        <f>'TR TE'!$R$7*'TR TE'!$R$49</f>
        <v>274.92811417175193</v>
      </c>
      <c r="S7" s="20">
        <f>SUM($R$7:$R$7)</f>
        <v>274.92811417175193</v>
      </c>
      <c r="T7" s="20">
        <f>'TR TE'!$T$7*'TR TE'!$T$49</f>
        <v>0</v>
      </c>
      <c r="U7" s="20">
        <f>'TR TE'!$U$7*'TR TE'!$U$49</f>
        <v>0</v>
      </c>
      <c r="V7" s="20">
        <f>'TR TE'!$V$7*'TR TE'!$V$49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TE'!$Z$49</f>
        <v>0</v>
      </c>
      <c r="AA7" s="20">
        <f>SUM($Z$7:$Z$7)</f>
        <v>0</v>
      </c>
      <c r="AB7" s="20">
        <f>SUMIF($L$4:$AA$4,"SUBTOTAL",$L$7:$AA$7)</f>
        <v>274.92811417175193</v>
      </c>
    </row>
    <row r="8" spans="1:28" ht="11.25" customHeight="1" x14ac:dyDescent="0.3">
      <c r="A8" s="107" t="s">
        <v>22</v>
      </c>
      <c r="B8" s="107" t="s">
        <v>67</v>
      </c>
      <c r="C8" s="107" t="s">
        <v>24</v>
      </c>
      <c r="D8" s="107" t="s">
        <v>24</v>
      </c>
      <c r="E8" s="107" t="s">
        <v>25</v>
      </c>
      <c r="F8" s="107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'TR TE'!$L$8*'TR TE'!$L$49</f>
        <v>0</v>
      </c>
      <c r="M8" s="20">
        <f>'TR TE'!$M$8*'TR TE'!$M$49</f>
        <v>0</v>
      </c>
      <c r="N8" s="20">
        <f>'TR TE'!$N$8*'TR TE'!$N$49</f>
        <v>0</v>
      </c>
      <c r="O8" s="20">
        <f>'TR TE'!$O$8*'TR TE'!$O$49</f>
        <v>0</v>
      </c>
      <c r="P8" s="20">
        <f>'TR TE'!$P$8*'TR TE'!$P$49</f>
        <v>0</v>
      </c>
      <c r="Q8" s="20">
        <f>SUM($L$8:$P$8)</f>
        <v>0</v>
      </c>
      <c r="R8" s="20">
        <f>'TR TE'!$R$8*'TR TE'!$R$49</f>
        <v>274.92811417175193</v>
      </c>
      <c r="S8" s="20">
        <f>SUM($R$8:$R$8)</f>
        <v>274.92811417175193</v>
      </c>
      <c r="T8" s="20">
        <f>'TR TE'!$T$8*'TR TE'!$T$49</f>
        <v>0</v>
      </c>
      <c r="U8" s="20">
        <f>'TR TE'!$U$8*'TR TE'!$U$49</f>
        <v>0</v>
      </c>
      <c r="V8" s="20">
        <f>'TR TE'!$V$8*'TR TE'!$V$49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TE'!$Z$49</f>
        <v>0</v>
      </c>
      <c r="AA8" s="20">
        <f>SUM($Z$8:$Z$8)</f>
        <v>0</v>
      </c>
      <c r="AB8" s="20">
        <f>SUMIF($L$4:$AA$4,"SUBTOTAL",$L$8:$AA$8)</f>
        <v>274.92811417175193</v>
      </c>
    </row>
    <row r="9" spans="1:28" ht="11.25" customHeight="1" x14ac:dyDescent="0.3">
      <c r="A9" s="107"/>
      <c r="B9" s="107"/>
      <c r="C9" s="107"/>
      <c r="D9" s="107"/>
      <c r="E9" s="107"/>
      <c r="F9" s="107"/>
      <c r="G9" s="23" t="s">
        <v>82</v>
      </c>
      <c r="H9" s="23" t="s">
        <v>68</v>
      </c>
      <c r="I9" s="23">
        <f>'MERCADO TE'!$U$6</f>
        <v>0.19500000000000003</v>
      </c>
      <c r="J9" s="15"/>
      <c r="L9" s="20">
        <f>'TR TE'!$L$9*'TR TE'!$L$49</f>
        <v>0</v>
      </c>
      <c r="M9" s="20">
        <f>'TR TE'!$M$9*'TR TE'!$M$49</f>
        <v>0</v>
      </c>
      <c r="N9" s="20">
        <f>'TR TE'!$N$9*'TR TE'!$N$49</f>
        <v>0</v>
      </c>
      <c r="O9" s="20">
        <f>'TR TE'!$O$9*'TR TE'!$O$49</f>
        <v>0</v>
      </c>
      <c r="P9" s="20">
        <f>'TR TE'!$P$9*'TR TE'!$P$49</f>
        <v>0</v>
      </c>
      <c r="Q9" s="20">
        <f>SUM($L$9:$P$9)</f>
        <v>0</v>
      </c>
      <c r="R9" s="20">
        <f>'TR TE'!$R$9*'TR TE'!$R$49</f>
        <v>274.92811417175193</v>
      </c>
      <c r="S9" s="20">
        <f>SUM($R$9:$R$9)</f>
        <v>274.92811417175193</v>
      </c>
      <c r="T9" s="20">
        <f>'TR TE'!$T$9*'TR TE'!$T$49</f>
        <v>0</v>
      </c>
      <c r="U9" s="20">
        <f>'TR TE'!$U$9*'TR TE'!$U$49</f>
        <v>0</v>
      </c>
      <c r="V9" s="20">
        <f>'TR TE'!$V$9*'TR TE'!$V$49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TE'!$Z$49</f>
        <v>0</v>
      </c>
      <c r="AA9" s="20">
        <f>SUM($Z$9:$Z$9)</f>
        <v>0</v>
      </c>
      <c r="AB9" s="20">
        <f>SUMIF($L$4:$AA$4,"SUBTOTAL",$L$9:$AA$9)</f>
        <v>274.92811417175193</v>
      </c>
    </row>
    <row r="10" spans="1:28" ht="11.25" customHeight="1" x14ac:dyDescent="0.3">
      <c r="A10" s="107"/>
      <c r="B10" s="107"/>
      <c r="C10" s="107"/>
      <c r="D10" s="107"/>
      <c r="E10" s="107"/>
      <c r="F10" s="107"/>
      <c r="G10" s="23" t="s">
        <v>70</v>
      </c>
      <c r="H10" s="23" t="s">
        <v>68</v>
      </c>
      <c r="I10" s="23">
        <f>'MERCADO TE'!$U$7</f>
        <v>0.51100000000000001</v>
      </c>
      <c r="J10" s="15"/>
      <c r="L10" s="20">
        <f>'TR TE'!$L$10*'TR TE'!$L$49</f>
        <v>0</v>
      </c>
      <c r="M10" s="20">
        <f>'TR TE'!$M$10*'TR TE'!$M$49</f>
        <v>0</v>
      </c>
      <c r="N10" s="20">
        <f>'TR TE'!$N$10*'TR TE'!$N$49</f>
        <v>0</v>
      </c>
      <c r="O10" s="20">
        <f>'TR TE'!$O$10*'TR TE'!$O$49</f>
        <v>0</v>
      </c>
      <c r="P10" s="20">
        <f>'TR TE'!$P$10*'TR TE'!$P$49</f>
        <v>0</v>
      </c>
      <c r="Q10" s="20">
        <f>SUM($L$10:$P$10)</f>
        <v>0</v>
      </c>
      <c r="R10" s="20">
        <f>'TR TE'!$R$10*'TR TE'!$R$49</f>
        <v>274.92811417175193</v>
      </c>
      <c r="S10" s="20">
        <f>SUM($R$10:$R$10)</f>
        <v>274.92811417175193</v>
      </c>
      <c r="T10" s="20">
        <f>'TR TE'!$T$10*'TR TE'!$T$49</f>
        <v>0</v>
      </c>
      <c r="U10" s="20">
        <f>'TR TE'!$U$10*'TR TE'!$U$49</f>
        <v>0</v>
      </c>
      <c r="V10" s="20">
        <f>'TR TE'!$V$10*'TR TE'!$V$49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TE'!$Z$49</f>
        <v>0</v>
      </c>
      <c r="AA10" s="20">
        <f>SUM($Z$10:$Z$10)</f>
        <v>0</v>
      </c>
      <c r="AB10" s="20">
        <f>SUMIF($L$4:$AA$4,"SUBTOTAL",$L$10:$AA$10)</f>
        <v>274.92811417175193</v>
      </c>
    </row>
    <row r="11" spans="1:28" ht="11.25" customHeight="1" x14ac:dyDescent="0.3">
      <c r="A11" s="107"/>
      <c r="B11" s="107" t="s">
        <v>71</v>
      </c>
      <c r="C11" s="107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5284.665</v>
      </c>
      <c r="J11" s="15"/>
      <c r="L11" s="20">
        <f>'TR TE'!$L$11*'TR TE'!$L$49</f>
        <v>0</v>
      </c>
      <c r="M11" s="20">
        <f>'TR TE'!$M$11*'TR TE'!$M$49</f>
        <v>0</v>
      </c>
      <c r="N11" s="20">
        <f>'TR TE'!$N$11*'TR TE'!$N$49</f>
        <v>0</v>
      </c>
      <c r="O11" s="20">
        <f>'TR TE'!$O$11*'TR TE'!$O$49</f>
        <v>0</v>
      </c>
      <c r="P11" s="20">
        <f>'TR TE'!$P$11*'TR TE'!$P$49</f>
        <v>0</v>
      </c>
      <c r="Q11" s="20">
        <f>SUM($L$11:$P$11)</f>
        <v>0</v>
      </c>
      <c r="R11" s="20">
        <f>'TR TE'!$R$11*'TR TE'!$R$49</f>
        <v>274.92811417175193</v>
      </c>
      <c r="S11" s="20">
        <f>SUM($R$11:$R$11)</f>
        <v>274.92811417175193</v>
      </c>
      <c r="T11" s="20">
        <f>'TR TE'!$T$11*'TR TE'!$T$49</f>
        <v>0</v>
      </c>
      <c r="U11" s="20">
        <f>'TR TE'!$U$11*'TR TE'!$U$49</f>
        <v>0</v>
      </c>
      <c r="V11" s="20">
        <f>'TR TE'!$V$11*'TR TE'!$V$49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TE'!$Z$49</f>
        <v>0</v>
      </c>
      <c r="AA11" s="20">
        <f>SUM($Z$11:$Z$11)</f>
        <v>0</v>
      </c>
      <c r="AB11" s="20">
        <f>SUMIF($L$4:$AA$4,"SUBTOTAL",$L$11:$AA$11)</f>
        <v>274.92811417175193</v>
      </c>
    </row>
    <row r="12" spans="1:28" ht="11.25" customHeight="1" x14ac:dyDescent="0.3">
      <c r="A12" s="107"/>
      <c r="B12" s="107"/>
      <c r="C12" s="107"/>
      <c r="D12" s="22" t="s">
        <v>29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53.816000000000003</v>
      </c>
      <c r="J12" s="15"/>
      <c r="L12" s="20">
        <f>'TR TE'!$L$12*'TR TE'!$L$49</f>
        <v>0</v>
      </c>
      <c r="M12" s="20">
        <f>'TR TE'!$M$12*'TR TE'!$M$49</f>
        <v>0</v>
      </c>
      <c r="N12" s="20">
        <f>'TR TE'!$N$12*'TR TE'!$N$49</f>
        <v>0</v>
      </c>
      <c r="O12" s="20">
        <f>'TR TE'!$O$12*'TR TE'!$O$49</f>
        <v>0</v>
      </c>
      <c r="P12" s="20">
        <f>'TR TE'!$P$12*'TR TE'!$P$49</f>
        <v>0</v>
      </c>
      <c r="Q12" s="20">
        <f>SUM($L$12:$P$12)</f>
        <v>0</v>
      </c>
      <c r="R12" s="20">
        <f>'TR TE'!$R$12*'TR TE'!$R$49</f>
        <v>274.92811417175193</v>
      </c>
      <c r="S12" s="20">
        <f>SUM($R$12:$R$12)</f>
        <v>274.92811417175193</v>
      </c>
      <c r="T12" s="20">
        <f>'TR TE'!$T$12*'TR TE'!$T$49</f>
        <v>0</v>
      </c>
      <c r="U12" s="20">
        <f>'TR TE'!$U$12*'TR TE'!$U$49</f>
        <v>0</v>
      </c>
      <c r="V12" s="20">
        <f>'TR TE'!$V$12*'TR TE'!$V$49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TE'!$Z$49</f>
        <v>0</v>
      </c>
      <c r="AA12" s="20">
        <f>SUM($Z$12:$Z$12)</f>
        <v>0</v>
      </c>
      <c r="AB12" s="20">
        <f>SUMIF($L$4:$AA$4,"SUBTOTAL",$L$12:$AA$12)</f>
        <v>274.92811417175193</v>
      </c>
    </row>
    <row r="13" spans="1:28" ht="11.25" customHeight="1" x14ac:dyDescent="0.3">
      <c r="A13" s="107"/>
      <c r="B13" s="107"/>
      <c r="C13" s="107"/>
      <c r="D13" s="22" t="s">
        <v>30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106.858</v>
      </c>
      <c r="J13" s="15"/>
      <c r="L13" s="20">
        <f>'TR TE'!$L$13*'TR TE'!$L$49</f>
        <v>0</v>
      </c>
      <c r="M13" s="20">
        <f>'TR TE'!$M$13*'TR TE'!$M$49</f>
        <v>0</v>
      </c>
      <c r="N13" s="20">
        <f>'TR TE'!$N$13*'TR TE'!$N$49</f>
        <v>0</v>
      </c>
      <c r="O13" s="20">
        <f>'TR TE'!$O$13*'TR TE'!$O$49</f>
        <v>0</v>
      </c>
      <c r="P13" s="20">
        <f>'TR TE'!$P$13*'TR TE'!$P$49</f>
        <v>0</v>
      </c>
      <c r="Q13" s="20">
        <f>SUM($L$13:$P$13)</f>
        <v>0</v>
      </c>
      <c r="R13" s="20">
        <f>'TR TE'!$R$13*'TR TE'!$R$49</f>
        <v>274.92811417175193</v>
      </c>
      <c r="S13" s="20">
        <f>SUM($R$13:$R$13)</f>
        <v>274.92811417175193</v>
      </c>
      <c r="T13" s="20">
        <f>'TR TE'!$T$13*'TR TE'!$T$49</f>
        <v>0</v>
      </c>
      <c r="U13" s="20">
        <f>'TR TE'!$U$13*'TR TE'!$U$49</f>
        <v>0</v>
      </c>
      <c r="V13" s="20">
        <f>'TR TE'!$V$13*'TR TE'!$V$49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TE'!$Z$49</f>
        <v>0</v>
      </c>
      <c r="AA13" s="20">
        <f>SUM($Z$13:$Z$13)</f>
        <v>0</v>
      </c>
      <c r="AB13" s="20">
        <f>SUMIF($L$4:$AA$4,"SUBTOTAL",$L$13:$AA$13)</f>
        <v>274.92811417175193</v>
      </c>
    </row>
    <row r="14" spans="1:28" ht="11.25" customHeight="1" x14ac:dyDescent="0.3">
      <c r="A14" s="107"/>
      <c r="B14" s="107"/>
      <c r="C14" s="107"/>
      <c r="D14" s="22" t="s">
        <v>31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84.406000000000006</v>
      </c>
      <c r="J14" s="15"/>
      <c r="L14" s="20">
        <f>'TR TE'!$L$14*'TR TE'!$L$49</f>
        <v>0</v>
      </c>
      <c r="M14" s="20">
        <f>'TR TE'!$M$14*'TR TE'!$M$49</f>
        <v>0</v>
      </c>
      <c r="N14" s="20">
        <f>'TR TE'!$N$14*'TR TE'!$N$49</f>
        <v>0</v>
      </c>
      <c r="O14" s="20">
        <f>'TR TE'!$O$14*'TR TE'!$O$49</f>
        <v>0</v>
      </c>
      <c r="P14" s="20">
        <f>'TR TE'!$P$14*'TR TE'!$P$49</f>
        <v>0</v>
      </c>
      <c r="Q14" s="20">
        <f>SUM($L$14:$P$14)</f>
        <v>0</v>
      </c>
      <c r="R14" s="20">
        <f>'TR TE'!$R$14*'TR TE'!$R$49</f>
        <v>274.92811417175193</v>
      </c>
      <c r="S14" s="20">
        <f>SUM($R$14:$R$14)</f>
        <v>274.92811417175193</v>
      </c>
      <c r="T14" s="20">
        <f>'TR TE'!$T$14*'TR TE'!$T$49</f>
        <v>0</v>
      </c>
      <c r="U14" s="20">
        <f>'TR TE'!$U$14*'TR TE'!$U$49</f>
        <v>0</v>
      </c>
      <c r="V14" s="20">
        <f>'TR TE'!$V$14*'TR TE'!$V$49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TE'!$Z$49</f>
        <v>0</v>
      </c>
      <c r="AA14" s="20">
        <f>SUM($Z$14:$Z$14)</f>
        <v>0</v>
      </c>
      <c r="AB14" s="20">
        <f>SUMIF($L$4:$AA$4,"SUBTOTAL",$L$14:$AA$14)</f>
        <v>274.92811417175193</v>
      </c>
    </row>
    <row r="15" spans="1:28" ht="11.25" customHeight="1" x14ac:dyDescent="0.3">
      <c r="A15" s="107"/>
      <c r="B15" s="107"/>
      <c r="C15" s="107"/>
      <c r="D15" s="22" t="s">
        <v>32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19.05</v>
      </c>
      <c r="J15" s="15"/>
      <c r="L15" s="20">
        <f>'TR TE'!$L$15*'TR TE'!$L$49</f>
        <v>0</v>
      </c>
      <c r="M15" s="20">
        <f>'TR TE'!$M$15*'TR TE'!$M$49</f>
        <v>0</v>
      </c>
      <c r="N15" s="20">
        <f>'TR TE'!$N$15*'TR TE'!$N$49</f>
        <v>0</v>
      </c>
      <c r="O15" s="20">
        <f>'TR TE'!$O$15*'TR TE'!$O$49</f>
        <v>0</v>
      </c>
      <c r="P15" s="20">
        <f>'TR TE'!$P$15*'TR TE'!$P$49</f>
        <v>0</v>
      </c>
      <c r="Q15" s="20">
        <f>SUM($L$15:$P$15)</f>
        <v>0</v>
      </c>
      <c r="R15" s="20">
        <f>'TR TE'!$R$15*'TR TE'!$R$49</f>
        <v>274.92811417175193</v>
      </c>
      <c r="S15" s="20">
        <f>SUM($R$15:$R$15)</f>
        <v>274.92811417175193</v>
      </c>
      <c r="T15" s="20">
        <f>'TR TE'!$T$15*'TR TE'!$T$49</f>
        <v>0</v>
      </c>
      <c r="U15" s="20">
        <f>'TR TE'!$U$15*'TR TE'!$U$49</f>
        <v>0</v>
      </c>
      <c r="V15" s="20">
        <f>'TR TE'!$V$15*'TR TE'!$V$49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TE'!$Z$49</f>
        <v>0</v>
      </c>
      <c r="AA15" s="20">
        <f>SUM($Z$15:$Z$15)</f>
        <v>0</v>
      </c>
      <c r="AB15" s="20">
        <f>SUMIF($L$4:$AA$4,"SUBTOTAL",$L$15:$AA$15)</f>
        <v>274.92811417175193</v>
      </c>
    </row>
    <row r="16" spans="1:28" ht="11.25" customHeight="1" x14ac:dyDescent="0.3">
      <c r="A16" s="107"/>
      <c r="B16" s="107" t="s">
        <v>83</v>
      </c>
      <c r="C16" s="107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'TR TE'!$L$16*'TR TE'!$L$49</f>
        <v>0</v>
      </c>
      <c r="M16" s="20">
        <f>'TR TE'!$M$16*'TR TE'!$M$49</f>
        <v>0</v>
      </c>
      <c r="N16" s="20">
        <f>'TR TE'!$N$16*'TR TE'!$N$49</f>
        <v>0</v>
      </c>
      <c r="O16" s="20">
        <f>'TR TE'!$O$16*'TR TE'!$O$49</f>
        <v>0</v>
      </c>
      <c r="P16" s="20">
        <f>'TR TE'!$P$16*'TR TE'!$P$49</f>
        <v>0</v>
      </c>
      <c r="Q16" s="20">
        <f>SUM($L$16:$P$16)</f>
        <v>0</v>
      </c>
      <c r="R16" s="20">
        <f>'TR TE'!$R$16*'TR TE'!$R$49</f>
        <v>274.92811417175193</v>
      </c>
      <c r="S16" s="20">
        <f>SUM($R$16:$R$16)</f>
        <v>274.92811417175193</v>
      </c>
      <c r="T16" s="20">
        <f>'TR TE'!$T$16*'TR TE'!$T$49</f>
        <v>0</v>
      </c>
      <c r="U16" s="20">
        <f>'TR TE'!$U$16*'TR TE'!$U$49</f>
        <v>0</v>
      </c>
      <c r="V16" s="20">
        <f>'TR TE'!$V$16*'TR TE'!$V$49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TE'!$Z$49</f>
        <v>0</v>
      </c>
      <c r="AA16" s="20">
        <f>SUM($Z$16:$Z$16)</f>
        <v>0</v>
      </c>
      <c r="AB16" s="20">
        <f>SUMIF($L$4:$AA$4,"SUBTOTAL",$L$16:$AA$16)</f>
        <v>274.92811417175193</v>
      </c>
    </row>
    <row r="17" spans="1:28" ht="11.25" customHeight="1" x14ac:dyDescent="0.3">
      <c r="A17" s="107"/>
      <c r="B17" s="107"/>
      <c r="C17" s="107"/>
      <c r="D17" s="22" t="s">
        <v>29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'TR TE'!$L$17*'TR TE'!$L$49</f>
        <v>0</v>
      </c>
      <c r="M17" s="20">
        <f>'TR TE'!$M$17*'TR TE'!$M$49</f>
        <v>0</v>
      </c>
      <c r="N17" s="20">
        <f>'TR TE'!$N$17*'TR TE'!$N$49</f>
        <v>0</v>
      </c>
      <c r="O17" s="20">
        <f>'TR TE'!$O$17*'TR TE'!$O$49</f>
        <v>0</v>
      </c>
      <c r="P17" s="20">
        <f>'TR TE'!$P$17*'TR TE'!$P$49</f>
        <v>0</v>
      </c>
      <c r="Q17" s="20">
        <f>SUM($L$17:$P$17)</f>
        <v>0</v>
      </c>
      <c r="R17" s="20">
        <f>'TR TE'!$R$17*'TR TE'!$R$49</f>
        <v>274.92811417175193</v>
      </c>
      <c r="S17" s="20">
        <f>SUM($R$17:$R$17)</f>
        <v>274.92811417175193</v>
      </c>
      <c r="T17" s="20">
        <f>'TR TE'!$T$17*'TR TE'!$T$49</f>
        <v>0</v>
      </c>
      <c r="U17" s="20">
        <f>'TR TE'!$U$17*'TR TE'!$U$49</f>
        <v>0</v>
      </c>
      <c r="V17" s="20">
        <f>'TR TE'!$V$17*'TR TE'!$V$49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TE'!$Z$49</f>
        <v>0</v>
      </c>
      <c r="AA17" s="20">
        <f>SUM($Z$17:$Z$17)</f>
        <v>0</v>
      </c>
      <c r="AB17" s="20">
        <f>SUMIF($L$4:$AA$4,"SUBTOTAL",$L$17:$AA$17)</f>
        <v>274.92811417175193</v>
      </c>
    </row>
    <row r="18" spans="1:28" ht="11.25" customHeight="1" x14ac:dyDescent="0.3">
      <c r="A18" s="107"/>
      <c r="B18" s="107"/>
      <c r="C18" s="107"/>
      <c r="D18" s="22" t="s">
        <v>30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'TR TE'!$L$18*'TR TE'!$L$49</f>
        <v>0</v>
      </c>
      <c r="M18" s="20">
        <f>'TR TE'!$M$18*'TR TE'!$M$49</f>
        <v>0</v>
      </c>
      <c r="N18" s="20">
        <f>'TR TE'!$N$18*'TR TE'!$N$49</f>
        <v>0</v>
      </c>
      <c r="O18" s="20">
        <f>'TR TE'!$O$18*'TR TE'!$O$49</f>
        <v>0</v>
      </c>
      <c r="P18" s="20">
        <f>'TR TE'!$P$18*'TR TE'!$P$49</f>
        <v>0</v>
      </c>
      <c r="Q18" s="20">
        <f>SUM($L$18:$P$18)</f>
        <v>0</v>
      </c>
      <c r="R18" s="20">
        <f>'TR TE'!$R$18*'TR TE'!$R$49</f>
        <v>274.92811417175193</v>
      </c>
      <c r="S18" s="20">
        <f>SUM($R$18:$R$18)</f>
        <v>274.92811417175193</v>
      </c>
      <c r="T18" s="20">
        <f>'TR TE'!$T$18*'TR TE'!$T$49</f>
        <v>0</v>
      </c>
      <c r="U18" s="20">
        <f>'TR TE'!$U$18*'TR TE'!$U$49</f>
        <v>0</v>
      </c>
      <c r="V18" s="20">
        <f>'TR TE'!$V$18*'TR TE'!$V$49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TE'!$Z$49</f>
        <v>0</v>
      </c>
      <c r="AA18" s="20">
        <f>SUM($Z$18:$Z$18)</f>
        <v>0</v>
      </c>
      <c r="AB18" s="20">
        <f>SUMIF($L$4:$AA$4,"SUBTOTAL",$L$18:$AA$18)</f>
        <v>274.92811417175193</v>
      </c>
    </row>
    <row r="19" spans="1:28" ht="11.25" customHeight="1" x14ac:dyDescent="0.3">
      <c r="A19" s="107"/>
      <c r="B19" s="107"/>
      <c r="C19" s="107"/>
      <c r="D19" s="22" t="s">
        <v>31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'TR TE'!$L$19*'TR TE'!$L$49</f>
        <v>0</v>
      </c>
      <c r="M19" s="20">
        <f>'TR TE'!$M$19*'TR TE'!$M$49</f>
        <v>0</v>
      </c>
      <c r="N19" s="20">
        <f>'TR TE'!$N$19*'TR TE'!$N$49</f>
        <v>0</v>
      </c>
      <c r="O19" s="20">
        <f>'TR TE'!$O$19*'TR TE'!$O$49</f>
        <v>0</v>
      </c>
      <c r="P19" s="20">
        <f>'TR TE'!$P$19*'TR TE'!$P$49</f>
        <v>0</v>
      </c>
      <c r="Q19" s="20">
        <f>SUM($L$19:$P$19)</f>
        <v>0</v>
      </c>
      <c r="R19" s="20">
        <f>'TR TE'!$R$19*'TR TE'!$R$49</f>
        <v>274.92811417175193</v>
      </c>
      <c r="S19" s="20">
        <f>SUM($R$19:$R$19)</f>
        <v>274.92811417175193</v>
      </c>
      <c r="T19" s="20">
        <f>'TR TE'!$T$19*'TR TE'!$T$49</f>
        <v>0</v>
      </c>
      <c r="U19" s="20">
        <f>'TR TE'!$U$19*'TR TE'!$U$49</f>
        <v>0</v>
      </c>
      <c r="V19" s="20">
        <f>'TR TE'!$V$19*'TR TE'!$V$49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TE'!$Z$49</f>
        <v>0</v>
      </c>
      <c r="AA19" s="20">
        <f>SUM($Z$19:$Z$19)</f>
        <v>0</v>
      </c>
      <c r="AB19" s="20">
        <f>SUMIF($L$4:$AA$4,"SUBTOTAL",$L$19:$AA$19)</f>
        <v>274.92811417175193</v>
      </c>
    </row>
    <row r="20" spans="1:28" ht="11.25" customHeight="1" x14ac:dyDescent="0.3">
      <c r="A20" s="107"/>
      <c r="B20" s="107"/>
      <c r="C20" s="107"/>
      <c r="D20" s="22" t="s">
        <v>32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'TR TE'!$L$20*'TR TE'!$L$49</f>
        <v>0</v>
      </c>
      <c r="M20" s="20">
        <f>'TR TE'!$M$20*'TR TE'!$M$49</f>
        <v>0</v>
      </c>
      <c r="N20" s="20">
        <f>'TR TE'!$N$20*'TR TE'!$N$49</f>
        <v>0</v>
      </c>
      <c r="O20" s="20">
        <f>'TR TE'!$O$20*'TR TE'!$O$49</f>
        <v>0</v>
      </c>
      <c r="P20" s="20">
        <f>'TR TE'!$P$20*'TR TE'!$P$49</f>
        <v>0</v>
      </c>
      <c r="Q20" s="20">
        <f>SUM($L$20:$P$20)</f>
        <v>0</v>
      </c>
      <c r="R20" s="20">
        <f>'TR TE'!$R$20*'TR TE'!$R$49</f>
        <v>274.92811417175193</v>
      </c>
      <c r="S20" s="20">
        <f>SUM($R$20:$R$20)</f>
        <v>274.92811417175193</v>
      </c>
      <c r="T20" s="20">
        <f>'TR TE'!$T$20*'TR TE'!$T$49</f>
        <v>0</v>
      </c>
      <c r="U20" s="20">
        <f>'TR TE'!$U$20*'TR TE'!$U$49</f>
        <v>0</v>
      </c>
      <c r="V20" s="20">
        <f>'TR TE'!$V$20*'TR TE'!$V$49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TE'!$Z$49</f>
        <v>0</v>
      </c>
      <c r="AA20" s="20">
        <f>SUM($Z$20:$Z$20)</f>
        <v>0</v>
      </c>
      <c r="AB20" s="20">
        <f>SUMIF($L$4:$AA$4,"SUBTOTAL",$L$20:$AA$20)</f>
        <v>274.92811417175193</v>
      </c>
    </row>
    <row r="21" spans="1:28" ht="11.25" customHeight="1" x14ac:dyDescent="0.3">
      <c r="A21" s="107" t="s">
        <v>41</v>
      </c>
      <c r="B21" s="107" t="s">
        <v>67</v>
      </c>
      <c r="C21" s="107" t="s">
        <v>42</v>
      </c>
      <c r="D21" s="107" t="s">
        <v>25</v>
      </c>
      <c r="E21" s="107" t="s">
        <v>25</v>
      </c>
      <c r="F21" s="107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'TR TE'!$L$21*'TR TE'!$L$49</f>
        <v>0</v>
      </c>
      <c r="M21" s="20">
        <f>'TR TE'!$M$21*'TR TE'!$M$49</f>
        <v>0</v>
      </c>
      <c r="N21" s="20">
        <f>'TR TE'!$N$21*'TR TE'!$N$49</f>
        <v>0</v>
      </c>
      <c r="O21" s="20">
        <f>'TR TE'!$O$21*'TR TE'!$O$49</f>
        <v>0</v>
      </c>
      <c r="P21" s="20">
        <f>'TR TE'!$P$21*'TR TE'!$P$49</f>
        <v>0</v>
      </c>
      <c r="Q21" s="20">
        <f>SUM($L$21:$P$21)</f>
        <v>0</v>
      </c>
      <c r="R21" s="20">
        <f>'TR TE'!$R$21*'TR TE'!$R$49</f>
        <v>274.92811417175193</v>
      </c>
      <c r="S21" s="20">
        <f>SUM($R$21:$R$21)</f>
        <v>274.92811417175193</v>
      </c>
      <c r="T21" s="20">
        <f>'TR TE'!$T$21*'TR TE'!$T$49</f>
        <v>0</v>
      </c>
      <c r="U21" s="20">
        <f>'TR TE'!$U$21*'TR TE'!$U$49</f>
        <v>0</v>
      </c>
      <c r="V21" s="20">
        <f>'TR TE'!$V$21*'TR TE'!$V$49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TE'!$Z$49</f>
        <v>0</v>
      </c>
      <c r="AA21" s="20">
        <f>SUM($Z$21:$Z$21)</f>
        <v>0</v>
      </c>
      <c r="AB21" s="20">
        <f>SUMIF($L$4:$AA$4,"SUBTOTAL",$L$21:$AA$21)</f>
        <v>274.92811417175193</v>
      </c>
    </row>
    <row r="22" spans="1:28" ht="11.25" customHeight="1" x14ac:dyDescent="0.3">
      <c r="A22" s="107"/>
      <c r="B22" s="107"/>
      <c r="C22" s="107"/>
      <c r="D22" s="107"/>
      <c r="E22" s="107"/>
      <c r="F22" s="107"/>
      <c r="G22" s="23" t="s">
        <v>82</v>
      </c>
      <c r="H22" s="23" t="s">
        <v>68</v>
      </c>
      <c r="I22" s="23">
        <f>'MERCADO TE'!$U$19</f>
        <v>0</v>
      </c>
      <c r="J22" s="15"/>
      <c r="L22" s="20">
        <f>'TR TE'!$L$22*'TR TE'!$L$49</f>
        <v>0</v>
      </c>
      <c r="M22" s="20">
        <f>'TR TE'!$M$22*'TR TE'!$M$49</f>
        <v>0</v>
      </c>
      <c r="N22" s="20">
        <f>'TR TE'!$N$22*'TR TE'!$N$49</f>
        <v>0</v>
      </c>
      <c r="O22" s="20">
        <f>'TR TE'!$O$22*'TR TE'!$O$49</f>
        <v>0</v>
      </c>
      <c r="P22" s="20">
        <f>'TR TE'!$P$22*'TR TE'!$P$49</f>
        <v>0</v>
      </c>
      <c r="Q22" s="20">
        <f>SUM($L$22:$P$22)</f>
        <v>0</v>
      </c>
      <c r="R22" s="20">
        <f>'TR TE'!$R$22*'TR TE'!$R$49</f>
        <v>274.92811417175193</v>
      </c>
      <c r="S22" s="20">
        <f>SUM($R$22:$R$22)</f>
        <v>274.92811417175193</v>
      </c>
      <c r="T22" s="20">
        <f>'TR TE'!$T$22*'TR TE'!$T$49</f>
        <v>0</v>
      </c>
      <c r="U22" s="20">
        <f>'TR TE'!$U$22*'TR TE'!$U$49</f>
        <v>0</v>
      </c>
      <c r="V22" s="20">
        <f>'TR TE'!$V$22*'TR TE'!$V$49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TE'!$Z$49</f>
        <v>0</v>
      </c>
      <c r="AA22" s="20">
        <f>SUM($Z$22:$Z$22)</f>
        <v>0</v>
      </c>
      <c r="AB22" s="20">
        <f>SUMIF($L$4:$AA$4,"SUBTOTAL",$L$22:$AA$22)</f>
        <v>274.92811417175193</v>
      </c>
    </row>
    <row r="23" spans="1:28" ht="11.25" customHeight="1" x14ac:dyDescent="0.3">
      <c r="A23" s="107"/>
      <c r="B23" s="107"/>
      <c r="C23" s="107"/>
      <c r="D23" s="107"/>
      <c r="E23" s="107"/>
      <c r="F23" s="107"/>
      <c r="G23" s="23" t="s">
        <v>70</v>
      </c>
      <c r="H23" s="23" t="s">
        <v>68</v>
      </c>
      <c r="I23" s="23">
        <f>'MERCADO TE'!$U$20</f>
        <v>0</v>
      </c>
      <c r="J23" s="15"/>
      <c r="L23" s="20">
        <f>'TR TE'!$L$23*'TR TE'!$L$49</f>
        <v>0</v>
      </c>
      <c r="M23" s="20">
        <f>'TR TE'!$M$23*'TR TE'!$M$49</f>
        <v>0</v>
      </c>
      <c r="N23" s="20">
        <f>'TR TE'!$N$23*'TR TE'!$N$49</f>
        <v>0</v>
      </c>
      <c r="O23" s="20">
        <f>'TR TE'!$O$23*'TR TE'!$O$49</f>
        <v>0</v>
      </c>
      <c r="P23" s="20">
        <f>'TR TE'!$P$23*'TR TE'!$P$49</f>
        <v>0</v>
      </c>
      <c r="Q23" s="20">
        <f>SUM($L$23:$P$23)</f>
        <v>0</v>
      </c>
      <c r="R23" s="20">
        <f>'TR TE'!$R$23*'TR TE'!$R$49</f>
        <v>274.92811417175193</v>
      </c>
      <c r="S23" s="20">
        <f>SUM($R$23:$R$23)</f>
        <v>274.92811417175193</v>
      </c>
      <c r="T23" s="20">
        <f>'TR TE'!$T$23*'TR TE'!$T$49</f>
        <v>0</v>
      </c>
      <c r="U23" s="20">
        <f>'TR TE'!$U$23*'TR TE'!$U$49</f>
        <v>0</v>
      </c>
      <c r="V23" s="20">
        <f>'TR TE'!$V$23*'TR TE'!$V$49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TE'!$Z$49</f>
        <v>0</v>
      </c>
      <c r="AA23" s="20">
        <f>SUM($Z$23:$Z$23)</f>
        <v>0</v>
      </c>
      <c r="AB23" s="20">
        <f>SUMIF($L$4:$AA$4,"SUBTOTAL",$L$23:$AA$23)</f>
        <v>274.92811417175193</v>
      </c>
    </row>
    <row r="24" spans="1:28" ht="11.25" customHeight="1" x14ac:dyDescent="0.3">
      <c r="A24" s="107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1383.9670000000001</v>
      </c>
      <c r="J24" s="15"/>
      <c r="L24" s="20">
        <f>'TR TE'!$L$24*'TR TE'!$L$49</f>
        <v>0</v>
      </c>
      <c r="M24" s="20">
        <f>'TR TE'!$M$24*'TR TE'!$M$49</f>
        <v>0</v>
      </c>
      <c r="N24" s="20">
        <f>'TR TE'!$N$24*'TR TE'!$N$49</f>
        <v>0</v>
      </c>
      <c r="O24" s="20">
        <f>'TR TE'!$O$24*'TR TE'!$O$49</f>
        <v>0</v>
      </c>
      <c r="P24" s="20">
        <f>'TR TE'!$P$24*'TR TE'!$P$49</f>
        <v>0</v>
      </c>
      <c r="Q24" s="20">
        <f>SUM($L$24:$P$24)</f>
        <v>0</v>
      </c>
      <c r="R24" s="20">
        <f>'TR TE'!$R$24*'TR TE'!$R$49</f>
        <v>274.92811417175193</v>
      </c>
      <c r="S24" s="20">
        <f>SUM($R$24:$R$24)</f>
        <v>274.92811417175193</v>
      </c>
      <c r="T24" s="20">
        <f>'TR TE'!$T$24*'TR TE'!$T$49</f>
        <v>0</v>
      </c>
      <c r="U24" s="20">
        <f>'TR TE'!$U$24*'TR TE'!$U$49</f>
        <v>0</v>
      </c>
      <c r="V24" s="20">
        <f>'TR TE'!$V$24*'TR TE'!$V$49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TE'!$Z$49</f>
        <v>0</v>
      </c>
      <c r="AA24" s="20">
        <f>SUM($Z$24:$Z$24)</f>
        <v>0</v>
      </c>
      <c r="AB24" s="20">
        <f>SUMIF($L$4:$AA$4,"SUBTOTAL",$L$24:$AA$24)</f>
        <v>274.92811417175193</v>
      </c>
    </row>
    <row r="25" spans="1:28" ht="11.25" customHeight="1" x14ac:dyDescent="0.3">
      <c r="A25" s="107"/>
      <c r="B25" s="107" t="s">
        <v>67</v>
      </c>
      <c r="C25" s="107" t="s">
        <v>42</v>
      </c>
      <c r="D25" s="107" t="s">
        <v>85</v>
      </c>
      <c r="E25" s="107" t="s">
        <v>25</v>
      </c>
      <c r="F25" s="107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'TR TE'!$L$25*'TR TE'!$L$49</f>
        <v>0</v>
      </c>
      <c r="M25" s="20">
        <f>'TR TE'!$M$25*'TR TE'!$M$49</f>
        <v>0</v>
      </c>
      <c r="N25" s="20">
        <f>'TR TE'!$N$25*'TR TE'!$N$49</f>
        <v>0</v>
      </c>
      <c r="O25" s="20">
        <f>'TR TE'!$O$25*'TR TE'!$O$49</f>
        <v>0</v>
      </c>
      <c r="P25" s="20">
        <f>'TR TE'!$P$25*'TR TE'!$P$49</f>
        <v>0</v>
      </c>
      <c r="Q25" s="20">
        <f>SUM($L$25:$P$25)</f>
        <v>0</v>
      </c>
      <c r="R25" s="20">
        <f>'TR TE'!$R$25*'TR TE'!$R$49</f>
        <v>274.92811417175193</v>
      </c>
      <c r="S25" s="20">
        <f>SUM($R$25:$R$25)</f>
        <v>274.92811417175193</v>
      </c>
      <c r="T25" s="20">
        <f>'TR TE'!$T$25*'TR TE'!$T$49</f>
        <v>0</v>
      </c>
      <c r="U25" s="20">
        <f>'TR TE'!$U$25*'TR TE'!$U$49</f>
        <v>0</v>
      </c>
      <c r="V25" s="20">
        <f>'TR TE'!$V$25*'TR TE'!$V$49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TE'!$Z$49</f>
        <v>0</v>
      </c>
      <c r="AA25" s="20">
        <f>SUM($Z$25:$Z$25)</f>
        <v>0</v>
      </c>
      <c r="AB25" s="20">
        <f>SUMIF($L$4:$AA$4,"SUBTOTAL",$L$25:$AA$25)</f>
        <v>274.92811417175193</v>
      </c>
    </row>
    <row r="26" spans="1:28" ht="11.25" customHeight="1" x14ac:dyDescent="0.3">
      <c r="A26" s="107"/>
      <c r="B26" s="107"/>
      <c r="C26" s="107"/>
      <c r="D26" s="107"/>
      <c r="E26" s="107"/>
      <c r="F26" s="107"/>
      <c r="G26" s="23" t="s">
        <v>82</v>
      </c>
      <c r="H26" s="23" t="s">
        <v>68</v>
      </c>
      <c r="I26" s="23">
        <f>'MERCADO TE'!$U$23</f>
        <v>0</v>
      </c>
      <c r="J26" s="15"/>
      <c r="L26" s="20">
        <f>'TR TE'!$L$26*'TR TE'!$L$49</f>
        <v>0</v>
      </c>
      <c r="M26" s="20">
        <f>'TR TE'!$M$26*'TR TE'!$M$49</f>
        <v>0</v>
      </c>
      <c r="N26" s="20">
        <f>'TR TE'!$N$26*'TR TE'!$N$49</f>
        <v>0</v>
      </c>
      <c r="O26" s="20">
        <f>'TR TE'!$O$26*'TR TE'!$O$49</f>
        <v>0</v>
      </c>
      <c r="P26" s="20">
        <f>'TR TE'!$P$26*'TR TE'!$P$49</f>
        <v>0</v>
      </c>
      <c r="Q26" s="20">
        <f>SUM($L$26:$P$26)</f>
        <v>0</v>
      </c>
      <c r="R26" s="20">
        <f>'TR TE'!$R$26*'TR TE'!$R$49</f>
        <v>274.92811417175193</v>
      </c>
      <c r="S26" s="20">
        <f>SUM($R$26:$R$26)</f>
        <v>274.92811417175193</v>
      </c>
      <c r="T26" s="20">
        <f>'TR TE'!$T$26*'TR TE'!$T$49</f>
        <v>0</v>
      </c>
      <c r="U26" s="20">
        <f>'TR TE'!$U$26*'TR TE'!$U$49</f>
        <v>0</v>
      </c>
      <c r="V26" s="20">
        <f>'TR TE'!$V$26*'TR TE'!$V$49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TE'!$Z$49</f>
        <v>0</v>
      </c>
      <c r="AA26" s="20">
        <f>SUM($Z$26:$Z$26)</f>
        <v>0</v>
      </c>
      <c r="AB26" s="20">
        <f>SUMIF($L$4:$AA$4,"SUBTOTAL",$L$26:$AA$26)</f>
        <v>274.92811417175193</v>
      </c>
    </row>
    <row r="27" spans="1:28" ht="11.25" customHeight="1" x14ac:dyDescent="0.3">
      <c r="A27" s="107"/>
      <c r="B27" s="107"/>
      <c r="C27" s="107"/>
      <c r="D27" s="107"/>
      <c r="E27" s="107"/>
      <c r="F27" s="107"/>
      <c r="G27" s="23" t="s">
        <v>70</v>
      </c>
      <c r="H27" s="23" t="s">
        <v>68</v>
      </c>
      <c r="I27" s="23">
        <f>'MERCADO TE'!$U$24</f>
        <v>0</v>
      </c>
      <c r="J27" s="15"/>
      <c r="L27" s="20">
        <f>'TR TE'!$L$27*'TR TE'!$L$49</f>
        <v>0</v>
      </c>
      <c r="M27" s="20">
        <f>'TR TE'!$M$27*'TR TE'!$M$49</f>
        <v>0</v>
      </c>
      <c r="N27" s="20">
        <f>'TR TE'!$N$27*'TR TE'!$N$49</f>
        <v>0</v>
      </c>
      <c r="O27" s="20">
        <f>'TR TE'!$O$27*'TR TE'!$O$49</f>
        <v>0</v>
      </c>
      <c r="P27" s="20">
        <f>'TR TE'!$P$27*'TR TE'!$P$49</f>
        <v>0</v>
      </c>
      <c r="Q27" s="20">
        <f>SUM($L$27:$P$27)</f>
        <v>0</v>
      </c>
      <c r="R27" s="20">
        <f>'TR TE'!$R$27*'TR TE'!$R$49</f>
        <v>274.92811417175193</v>
      </c>
      <c r="S27" s="20">
        <f>SUM($R$27:$R$27)</f>
        <v>274.92811417175193</v>
      </c>
      <c r="T27" s="20">
        <f>'TR TE'!$T$27*'TR TE'!$T$49</f>
        <v>0</v>
      </c>
      <c r="U27" s="20">
        <f>'TR TE'!$U$27*'TR TE'!$U$49</f>
        <v>0</v>
      </c>
      <c r="V27" s="20">
        <f>'TR TE'!$V$27*'TR TE'!$V$49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TE'!$Z$49</f>
        <v>0</v>
      </c>
      <c r="AA27" s="20">
        <f>SUM($Z$27:$Z$27)</f>
        <v>0</v>
      </c>
      <c r="AB27" s="20">
        <f>SUMIF($L$4:$AA$4,"SUBTOTAL",$L$27:$AA$27)</f>
        <v>274.92811417175193</v>
      </c>
    </row>
    <row r="28" spans="1:28" ht="11.25" customHeight="1" x14ac:dyDescent="0.3">
      <c r="A28" s="107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'TR TE'!$L$28*'TR TE'!$L$49</f>
        <v>0</v>
      </c>
      <c r="M28" s="20">
        <f>'TR TE'!$M$28*'TR TE'!$M$49</f>
        <v>0</v>
      </c>
      <c r="N28" s="20">
        <f>'TR TE'!$N$28*'TR TE'!$N$49</f>
        <v>0</v>
      </c>
      <c r="O28" s="20">
        <f>'TR TE'!$O$28*'TR TE'!$O$49</f>
        <v>0</v>
      </c>
      <c r="P28" s="20">
        <f>'TR TE'!$P$28*'TR TE'!$P$49</f>
        <v>0</v>
      </c>
      <c r="Q28" s="20">
        <f>SUM($L$28:$P$28)</f>
        <v>0</v>
      </c>
      <c r="R28" s="20">
        <f>'TR TE'!$R$28*'TR TE'!$R$49</f>
        <v>274.92811417175193</v>
      </c>
      <c r="S28" s="20">
        <f>SUM($R$28:$R$28)</f>
        <v>274.92811417175193</v>
      </c>
      <c r="T28" s="20">
        <f>'TR TE'!$T$28*'TR TE'!$T$49</f>
        <v>0</v>
      </c>
      <c r="U28" s="20">
        <f>'TR TE'!$U$28*'TR TE'!$U$49</f>
        <v>0</v>
      </c>
      <c r="V28" s="20">
        <f>'TR TE'!$V$28*'TR TE'!$V$49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TE'!$Z$49</f>
        <v>0</v>
      </c>
      <c r="AA28" s="20">
        <f>SUM($Z$28:$Z$28)</f>
        <v>0</v>
      </c>
      <c r="AB28" s="20">
        <f>SUMIF($L$4:$AA$4,"SUBTOTAL",$L$28:$AA$28)</f>
        <v>274.92811417175193</v>
      </c>
    </row>
    <row r="29" spans="1:28" ht="11.25" customHeight="1" x14ac:dyDescent="0.3">
      <c r="A29" s="107"/>
      <c r="B29" s="107" t="s">
        <v>67</v>
      </c>
      <c r="C29" s="107" t="s">
        <v>42</v>
      </c>
      <c r="D29" s="107" t="s">
        <v>86</v>
      </c>
      <c r="E29" s="107" t="s">
        <v>25</v>
      </c>
      <c r="F29" s="107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'TR TE'!$L$29*'TR TE'!$L$49</f>
        <v>0</v>
      </c>
      <c r="M29" s="20">
        <f>'TR TE'!$M$29*'TR TE'!$M$49</f>
        <v>0</v>
      </c>
      <c r="N29" s="20">
        <f>'TR TE'!$N$29*'TR TE'!$N$49</f>
        <v>0</v>
      </c>
      <c r="O29" s="20">
        <f>'TR TE'!$O$29*'TR TE'!$O$49</f>
        <v>0</v>
      </c>
      <c r="P29" s="20">
        <f>'TR TE'!$P$29*'TR TE'!$P$49</f>
        <v>0</v>
      </c>
      <c r="Q29" s="20">
        <f>SUM($L$29:$P$29)</f>
        <v>0</v>
      </c>
      <c r="R29" s="20">
        <f>'TR TE'!$R$29*'TR TE'!$R$49</f>
        <v>274.92811417175193</v>
      </c>
      <c r="S29" s="20">
        <f>SUM($R$29:$R$29)</f>
        <v>274.92811417175193</v>
      </c>
      <c r="T29" s="20">
        <f>'TR TE'!$T$29*'TR TE'!$T$49</f>
        <v>0</v>
      </c>
      <c r="U29" s="20">
        <f>'TR TE'!$U$29*'TR TE'!$U$49</f>
        <v>0</v>
      </c>
      <c r="V29" s="20">
        <f>'TR TE'!$V$29*'TR TE'!$V$49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TE'!$Z$49</f>
        <v>0</v>
      </c>
      <c r="AA29" s="20">
        <f>SUM($Z$29:$Z$29)</f>
        <v>0</v>
      </c>
      <c r="AB29" s="20">
        <f>SUMIF($L$4:$AA$4,"SUBTOTAL",$L$29:$AA$29)</f>
        <v>274.92811417175193</v>
      </c>
    </row>
    <row r="30" spans="1:28" ht="11.25" customHeight="1" x14ac:dyDescent="0.3">
      <c r="A30" s="107"/>
      <c r="B30" s="107"/>
      <c r="C30" s="107"/>
      <c r="D30" s="107"/>
      <c r="E30" s="107"/>
      <c r="F30" s="107"/>
      <c r="G30" s="23" t="s">
        <v>82</v>
      </c>
      <c r="H30" s="23" t="s">
        <v>68</v>
      </c>
      <c r="I30" s="23">
        <f>'MERCADO TE'!$U$27</f>
        <v>0</v>
      </c>
      <c r="J30" s="15"/>
      <c r="L30" s="20">
        <f>'TR TE'!$L$30*'TR TE'!$L$49</f>
        <v>0</v>
      </c>
      <c r="M30" s="20">
        <f>'TR TE'!$M$30*'TR TE'!$M$49</f>
        <v>0</v>
      </c>
      <c r="N30" s="20">
        <f>'TR TE'!$N$30*'TR TE'!$N$49</f>
        <v>0</v>
      </c>
      <c r="O30" s="20">
        <f>'TR TE'!$O$30*'TR TE'!$O$49</f>
        <v>0</v>
      </c>
      <c r="P30" s="20">
        <f>'TR TE'!$P$30*'TR TE'!$P$49</f>
        <v>0</v>
      </c>
      <c r="Q30" s="20">
        <f>SUM($L$30:$P$30)</f>
        <v>0</v>
      </c>
      <c r="R30" s="20">
        <f>'TR TE'!$R$30*'TR TE'!$R$49</f>
        <v>274.92811417175193</v>
      </c>
      <c r="S30" s="20">
        <f>SUM($R$30:$R$30)</f>
        <v>274.92811417175193</v>
      </c>
      <c r="T30" s="20">
        <f>'TR TE'!$T$30*'TR TE'!$T$49</f>
        <v>0</v>
      </c>
      <c r="U30" s="20">
        <f>'TR TE'!$U$30*'TR TE'!$U$49</f>
        <v>0</v>
      </c>
      <c r="V30" s="20">
        <f>'TR TE'!$V$30*'TR TE'!$V$49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TE'!$Z$49</f>
        <v>0</v>
      </c>
      <c r="AA30" s="20">
        <f>SUM($Z$30:$Z$30)</f>
        <v>0</v>
      </c>
      <c r="AB30" s="20">
        <f>SUMIF($L$4:$AA$4,"SUBTOTAL",$L$30:$AA$30)</f>
        <v>274.92811417175193</v>
      </c>
    </row>
    <row r="31" spans="1:28" ht="11.25" customHeight="1" x14ac:dyDescent="0.3">
      <c r="A31" s="107"/>
      <c r="B31" s="107"/>
      <c r="C31" s="107"/>
      <c r="D31" s="107"/>
      <c r="E31" s="107"/>
      <c r="F31" s="107"/>
      <c r="G31" s="23" t="s">
        <v>70</v>
      </c>
      <c r="H31" s="23" t="s">
        <v>68</v>
      </c>
      <c r="I31" s="23">
        <f>'MERCADO TE'!$U$28</f>
        <v>0</v>
      </c>
      <c r="J31" s="15"/>
      <c r="L31" s="20">
        <f>'TR TE'!$L$31*'TR TE'!$L$49</f>
        <v>0</v>
      </c>
      <c r="M31" s="20">
        <f>'TR TE'!$M$31*'TR TE'!$M$49</f>
        <v>0</v>
      </c>
      <c r="N31" s="20">
        <f>'TR TE'!$N$31*'TR TE'!$N$49</f>
        <v>0</v>
      </c>
      <c r="O31" s="20">
        <f>'TR TE'!$O$31*'TR TE'!$O$49</f>
        <v>0</v>
      </c>
      <c r="P31" s="20">
        <f>'TR TE'!$P$31*'TR TE'!$P$49</f>
        <v>0</v>
      </c>
      <c r="Q31" s="20">
        <f>SUM($L$31:$P$31)</f>
        <v>0</v>
      </c>
      <c r="R31" s="20">
        <f>'TR TE'!$R$31*'TR TE'!$R$49</f>
        <v>274.92811417175193</v>
      </c>
      <c r="S31" s="20">
        <f>SUM($R$31:$R$31)</f>
        <v>274.92811417175193</v>
      </c>
      <c r="T31" s="20">
        <f>'TR TE'!$T$31*'TR TE'!$T$49</f>
        <v>0</v>
      </c>
      <c r="U31" s="20">
        <f>'TR TE'!$U$31*'TR TE'!$U$49</f>
        <v>0</v>
      </c>
      <c r="V31" s="20">
        <f>'TR TE'!$V$31*'TR TE'!$V$49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TE'!$Z$49</f>
        <v>0</v>
      </c>
      <c r="AA31" s="20">
        <f>SUM($Z$31:$Z$31)</f>
        <v>0</v>
      </c>
      <c r="AB31" s="20">
        <f>SUMIF($L$4:$AA$4,"SUBTOTAL",$L$31:$AA$31)</f>
        <v>274.92811417175193</v>
      </c>
    </row>
    <row r="32" spans="1:28" ht="11.25" customHeight="1" x14ac:dyDescent="0.3">
      <c r="A32" s="107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'TR TE'!$L$32*'TR TE'!$L$49</f>
        <v>0</v>
      </c>
      <c r="M32" s="20">
        <f>'TR TE'!$M$32*'TR TE'!$M$49</f>
        <v>0</v>
      </c>
      <c r="N32" s="20">
        <f>'TR TE'!$N$32*'TR TE'!$N$49</f>
        <v>0</v>
      </c>
      <c r="O32" s="20">
        <f>'TR TE'!$O$32*'TR TE'!$O$49</f>
        <v>0</v>
      </c>
      <c r="P32" s="20">
        <f>'TR TE'!$P$32*'TR TE'!$P$49</f>
        <v>0</v>
      </c>
      <c r="Q32" s="20">
        <f>SUM($L$32:$P$32)</f>
        <v>0</v>
      </c>
      <c r="R32" s="20">
        <f>'TR TE'!$R$32*'TR TE'!$R$49</f>
        <v>274.92811417175193</v>
      </c>
      <c r="S32" s="20">
        <f>SUM($R$32:$R$32)</f>
        <v>274.92811417175193</v>
      </c>
      <c r="T32" s="20">
        <f>'TR TE'!$T$32*'TR TE'!$T$49</f>
        <v>0</v>
      </c>
      <c r="U32" s="20">
        <f>'TR TE'!$U$32*'TR TE'!$U$49</f>
        <v>0</v>
      </c>
      <c r="V32" s="20">
        <f>'TR TE'!$V$32*'TR TE'!$V$49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TE'!$Z$49</f>
        <v>0</v>
      </c>
      <c r="AA32" s="20">
        <f>SUM($Z$32:$Z$32)</f>
        <v>0</v>
      </c>
      <c r="AB32" s="20">
        <f>SUMIF($L$4:$AA$4,"SUBTOTAL",$L$32:$AA$32)</f>
        <v>274.92811417175193</v>
      </c>
    </row>
    <row r="33" spans="1:28" ht="11.25" customHeight="1" x14ac:dyDescent="0.3">
      <c r="A33" s="107"/>
      <c r="B33" s="107" t="s">
        <v>83</v>
      </c>
      <c r="C33" s="107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'TR TE'!$L$33*'TR TE'!$L$49</f>
        <v>0</v>
      </c>
      <c r="M33" s="20">
        <f>'TR TE'!$M$33*'TR TE'!$M$49</f>
        <v>0</v>
      </c>
      <c r="N33" s="20">
        <f>'TR TE'!$N$33*'TR TE'!$N$49</f>
        <v>0</v>
      </c>
      <c r="O33" s="20">
        <f>'TR TE'!$O$33*'TR TE'!$O$49</f>
        <v>0</v>
      </c>
      <c r="P33" s="20">
        <f>'TR TE'!$P$33*'TR TE'!$P$49</f>
        <v>0</v>
      </c>
      <c r="Q33" s="20">
        <f>SUM($L$33:$P$33)</f>
        <v>0</v>
      </c>
      <c r="R33" s="20">
        <f>'TR TE'!$R$33*'TR TE'!$R$49</f>
        <v>274.92811417175193</v>
      </c>
      <c r="S33" s="20">
        <f>SUM($R$33:$R$33)</f>
        <v>274.92811417175193</v>
      </c>
      <c r="T33" s="20">
        <f>'TR TE'!$T$33*'TR TE'!$T$49</f>
        <v>0</v>
      </c>
      <c r="U33" s="20">
        <f>'TR TE'!$U$33*'TR TE'!$U$49</f>
        <v>0</v>
      </c>
      <c r="V33" s="20">
        <f>'TR TE'!$V$33*'TR TE'!$V$49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TE'!$Z$49</f>
        <v>0</v>
      </c>
      <c r="AA33" s="20">
        <f>SUM($Z$33:$Z$33)</f>
        <v>0</v>
      </c>
      <c r="AB33" s="20">
        <f>SUMIF($L$4:$AA$4,"SUBTOTAL",$L$33:$AA$33)</f>
        <v>274.92811417175193</v>
      </c>
    </row>
    <row r="34" spans="1:28" ht="11.25" customHeight="1" x14ac:dyDescent="0.3">
      <c r="A34" s="107"/>
      <c r="B34" s="107"/>
      <c r="C34" s="107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'TR TE'!$L$34*'TR TE'!$L$49</f>
        <v>0</v>
      </c>
      <c r="M34" s="20">
        <f>'TR TE'!$M$34*'TR TE'!$M$49</f>
        <v>0</v>
      </c>
      <c r="N34" s="20">
        <f>'TR TE'!$N$34*'TR TE'!$N$49</f>
        <v>0</v>
      </c>
      <c r="O34" s="20">
        <f>'TR TE'!$O$34*'TR TE'!$O$49</f>
        <v>0</v>
      </c>
      <c r="P34" s="20">
        <f>'TR TE'!$P$34*'TR TE'!$P$49</f>
        <v>0</v>
      </c>
      <c r="Q34" s="20">
        <f>SUM($L$34:$P$34)</f>
        <v>0</v>
      </c>
      <c r="R34" s="20">
        <f>'TR TE'!$R$34*'TR TE'!$R$49</f>
        <v>274.92811417175193</v>
      </c>
      <c r="S34" s="20">
        <f>SUM($R$34:$R$34)</f>
        <v>274.92811417175193</v>
      </c>
      <c r="T34" s="20">
        <f>'TR TE'!$T$34*'TR TE'!$T$49</f>
        <v>0</v>
      </c>
      <c r="U34" s="20">
        <f>'TR TE'!$U$34*'TR TE'!$U$49</f>
        <v>0</v>
      </c>
      <c r="V34" s="20">
        <f>'TR TE'!$V$34*'TR TE'!$V$49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TE'!$Z$49</f>
        <v>0</v>
      </c>
      <c r="AA34" s="20">
        <f>SUM($Z$34:$Z$34)</f>
        <v>0</v>
      </c>
      <c r="AB34" s="20">
        <f>SUMIF($L$4:$AA$4,"SUBTOTAL",$L$34:$AA$34)</f>
        <v>274.92811417175193</v>
      </c>
    </row>
    <row r="35" spans="1:28" ht="11.25" customHeight="1" x14ac:dyDescent="0.3">
      <c r="A35" s="107"/>
      <c r="B35" s="107"/>
      <c r="C35" s="107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'TR TE'!$L$35*'TR TE'!$L$49</f>
        <v>0</v>
      </c>
      <c r="M35" s="20">
        <f>'TR TE'!$M$35*'TR TE'!$M$49</f>
        <v>0</v>
      </c>
      <c r="N35" s="20">
        <f>'TR TE'!$N$35*'TR TE'!$N$49</f>
        <v>0</v>
      </c>
      <c r="O35" s="20">
        <f>'TR TE'!$O$35*'TR TE'!$O$49</f>
        <v>0</v>
      </c>
      <c r="P35" s="20">
        <f>'TR TE'!$P$35*'TR TE'!$P$49</f>
        <v>0</v>
      </c>
      <c r="Q35" s="20">
        <f>SUM($L$35:$P$35)</f>
        <v>0</v>
      </c>
      <c r="R35" s="20">
        <f>'TR TE'!$R$35*'TR TE'!$R$49</f>
        <v>274.92811417175193</v>
      </c>
      <c r="S35" s="20">
        <f>SUM($R$35:$R$35)</f>
        <v>274.92811417175193</v>
      </c>
      <c r="T35" s="20">
        <f>'TR TE'!$T$35*'TR TE'!$T$49</f>
        <v>0</v>
      </c>
      <c r="U35" s="20">
        <f>'TR TE'!$U$35*'TR TE'!$U$49</f>
        <v>0</v>
      </c>
      <c r="V35" s="20">
        <f>'TR TE'!$V$35*'TR TE'!$V$49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TE'!$Z$49</f>
        <v>0</v>
      </c>
      <c r="AA35" s="20">
        <f>SUM($Z$35:$Z$35)</f>
        <v>0</v>
      </c>
      <c r="AB35" s="20">
        <f>SUMIF($L$4:$AA$4,"SUBTOTAL",$L$35:$AA$35)</f>
        <v>274.92811417175193</v>
      </c>
    </row>
    <row r="36" spans="1:28" ht="11.25" customHeight="1" x14ac:dyDescent="0.3">
      <c r="A36" s="107" t="s">
        <v>36</v>
      </c>
      <c r="B36" s="107" t="s">
        <v>67</v>
      </c>
      <c r="C36" s="107" t="s">
        <v>25</v>
      </c>
      <c r="D36" s="107" t="s">
        <v>25</v>
      </c>
      <c r="E36" s="107" t="s">
        <v>25</v>
      </c>
      <c r="F36" s="107" t="s">
        <v>25</v>
      </c>
      <c r="G36" s="23" t="s">
        <v>69</v>
      </c>
      <c r="H36" s="23" t="s">
        <v>68</v>
      </c>
      <c r="I36" s="23">
        <f>'MERCADO TE'!$U$33</f>
        <v>0</v>
      </c>
      <c r="J36" s="15"/>
      <c r="L36" s="20">
        <f>'TR TE'!$L$36*'TR TE'!$L$49</f>
        <v>0</v>
      </c>
      <c r="M36" s="20">
        <f>'TR TE'!$M$36*'TR TE'!$M$49</f>
        <v>0</v>
      </c>
      <c r="N36" s="20">
        <f>'TR TE'!$N$36*'TR TE'!$N$49</f>
        <v>0</v>
      </c>
      <c r="O36" s="20">
        <f>'TR TE'!$O$36*'TR TE'!$O$49</f>
        <v>0</v>
      </c>
      <c r="P36" s="20">
        <f>'TR TE'!$P$36*'TR TE'!$P$49</f>
        <v>0</v>
      </c>
      <c r="Q36" s="20">
        <f>SUM($L$36:$P$36)</f>
        <v>0</v>
      </c>
      <c r="R36" s="20">
        <f>'TR TE'!$R$36*'TR TE'!$R$49</f>
        <v>274.92811417175193</v>
      </c>
      <c r="S36" s="20">
        <f>SUM($R$36:$R$36)</f>
        <v>274.92811417175193</v>
      </c>
      <c r="T36" s="20">
        <f>'TR TE'!$T$36*'TR TE'!$T$49</f>
        <v>0</v>
      </c>
      <c r="U36" s="20">
        <f>'TR TE'!$U$36*'TR TE'!$U$49</f>
        <v>0</v>
      </c>
      <c r="V36" s="20">
        <f>'TR TE'!$V$36*'TR TE'!$V$49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TE'!$Z$49</f>
        <v>0</v>
      </c>
      <c r="AA36" s="20">
        <f>SUM($Z$36:$Z$36)</f>
        <v>0</v>
      </c>
      <c r="AB36" s="20">
        <f>SUMIF($L$4:$AA$4,"SUBTOTAL",$L$36:$AA$36)</f>
        <v>274.92811417175193</v>
      </c>
    </row>
    <row r="37" spans="1:28" ht="11.25" customHeight="1" x14ac:dyDescent="0.3">
      <c r="A37" s="107"/>
      <c r="B37" s="107"/>
      <c r="C37" s="107"/>
      <c r="D37" s="107"/>
      <c r="E37" s="107"/>
      <c r="F37" s="107"/>
      <c r="G37" s="23" t="s">
        <v>82</v>
      </c>
      <c r="H37" s="23" t="s">
        <v>68</v>
      </c>
      <c r="I37" s="23">
        <f>'MERCADO TE'!$U$34</f>
        <v>0</v>
      </c>
      <c r="J37" s="15"/>
      <c r="L37" s="20">
        <f>'TR TE'!$L$37*'TR TE'!$L$49</f>
        <v>0</v>
      </c>
      <c r="M37" s="20">
        <f>'TR TE'!$M$37*'TR TE'!$M$49</f>
        <v>0</v>
      </c>
      <c r="N37" s="20">
        <f>'TR TE'!$N$37*'TR TE'!$N$49</f>
        <v>0</v>
      </c>
      <c r="O37" s="20">
        <f>'TR TE'!$O$37*'TR TE'!$O$49</f>
        <v>0</v>
      </c>
      <c r="P37" s="20">
        <f>'TR TE'!$P$37*'TR TE'!$P$49</f>
        <v>0</v>
      </c>
      <c r="Q37" s="20">
        <f>SUM($L$37:$P$37)</f>
        <v>0</v>
      </c>
      <c r="R37" s="20">
        <f>'TR TE'!$R$37*'TR TE'!$R$49</f>
        <v>274.92811417175193</v>
      </c>
      <c r="S37" s="20">
        <f>SUM($R$37:$R$37)</f>
        <v>274.92811417175193</v>
      </c>
      <c r="T37" s="20">
        <f>'TR TE'!$T$37*'TR TE'!$T$49</f>
        <v>0</v>
      </c>
      <c r="U37" s="20">
        <f>'TR TE'!$U$37*'TR TE'!$U$49</f>
        <v>0</v>
      </c>
      <c r="V37" s="20">
        <f>'TR TE'!$V$37*'TR TE'!$V$49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TE'!$Z$49</f>
        <v>0</v>
      </c>
      <c r="AA37" s="20">
        <f>SUM($Z$37:$Z$37)</f>
        <v>0</v>
      </c>
      <c r="AB37" s="20">
        <f>SUMIF($L$4:$AA$4,"SUBTOTAL",$L$37:$AA$37)</f>
        <v>274.92811417175193</v>
      </c>
    </row>
    <row r="38" spans="1:28" ht="11.25" customHeight="1" x14ac:dyDescent="0.3">
      <c r="A38" s="107"/>
      <c r="B38" s="107"/>
      <c r="C38" s="107"/>
      <c r="D38" s="107"/>
      <c r="E38" s="107"/>
      <c r="F38" s="107"/>
      <c r="G38" s="23" t="s">
        <v>70</v>
      </c>
      <c r="H38" s="23" t="s">
        <v>68</v>
      </c>
      <c r="I38" s="23">
        <f>'MERCADO TE'!$U$35</f>
        <v>0</v>
      </c>
      <c r="J38" s="15"/>
      <c r="L38" s="20">
        <f>'TR TE'!$L$38*'TR TE'!$L$49</f>
        <v>0</v>
      </c>
      <c r="M38" s="20">
        <f>'TR TE'!$M$38*'TR TE'!$M$49</f>
        <v>0</v>
      </c>
      <c r="N38" s="20">
        <f>'TR TE'!$N$38*'TR TE'!$N$49</f>
        <v>0</v>
      </c>
      <c r="O38" s="20">
        <f>'TR TE'!$O$38*'TR TE'!$O$49</f>
        <v>0</v>
      </c>
      <c r="P38" s="20">
        <f>'TR TE'!$P$38*'TR TE'!$P$49</f>
        <v>0</v>
      </c>
      <c r="Q38" s="20">
        <f>SUM($L$38:$P$38)</f>
        <v>0</v>
      </c>
      <c r="R38" s="20">
        <f>'TR TE'!$R$38*'TR TE'!$R$49</f>
        <v>274.92811417175193</v>
      </c>
      <c r="S38" s="20">
        <f>SUM($R$38:$R$38)</f>
        <v>274.92811417175193</v>
      </c>
      <c r="T38" s="20">
        <f>'TR TE'!$T$38*'TR TE'!$T$49</f>
        <v>0</v>
      </c>
      <c r="U38" s="20">
        <f>'TR TE'!$U$38*'TR TE'!$U$49</f>
        <v>0</v>
      </c>
      <c r="V38" s="20">
        <f>'TR TE'!$V$38*'TR TE'!$V$49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TE'!$Z$49</f>
        <v>0</v>
      </c>
      <c r="AA38" s="20">
        <f>SUM($Z$38:$Z$38)</f>
        <v>0</v>
      </c>
      <c r="AB38" s="20">
        <f>SUMIF($L$4:$AA$4,"SUBTOTAL",$L$38:$AA$38)</f>
        <v>274.92811417175193</v>
      </c>
    </row>
    <row r="39" spans="1:28" ht="11.25" customHeight="1" x14ac:dyDescent="0.3">
      <c r="A39" s="107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643.45600000000002</v>
      </c>
      <c r="J39" s="15"/>
      <c r="L39" s="20">
        <f>'TR TE'!$L$39*'TR TE'!$L$49</f>
        <v>0</v>
      </c>
      <c r="M39" s="20">
        <f>'TR TE'!$M$39*'TR TE'!$M$49</f>
        <v>0</v>
      </c>
      <c r="N39" s="20">
        <f>'TR TE'!$N$39*'TR TE'!$N$49</f>
        <v>0</v>
      </c>
      <c r="O39" s="20">
        <f>'TR TE'!$O$39*'TR TE'!$O$49</f>
        <v>0</v>
      </c>
      <c r="P39" s="20">
        <f>'TR TE'!$P$39*'TR TE'!$P$49</f>
        <v>0</v>
      </c>
      <c r="Q39" s="20">
        <f>SUM($L$39:$P$39)</f>
        <v>0</v>
      </c>
      <c r="R39" s="20">
        <f>'TR TE'!$R$39*'TR TE'!$R$49</f>
        <v>274.92811417175193</v>
      </c>
      <c r="S39" s="20">
        <f>SUM($R$39:$R$39)</f>
        <v>274.92811417175193</v>
      </c>
      <c r="T39" s="20">
        <f>'TR TE'!$T$39*'TR TE'!$T$49</f>
        <v>0</v>
      </c>
      <c r="U39" s="20">
        <f>'TR TE'!$U$39*'TR TE'!$U$49</f>
        <v>0</v>
      </c>
      <c r="V39" s="20">
        <f>'TR TE'!$V$39*'TR TE'!$V$49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TE'!$Z$49</f>
        <v>0</v>
      </c>
      <c r="AA39" s="20">
        <f>SUM($Z$39:$Z$39)</f>
        <v>0</v>
      </c>
      <c r="AB39" s="20">
        <f>SUMIF($L$4:$AA$4,"SUBTOTAL",$L$39:$AA$39)</f>
        <v>274.92811417175193</v>
      </c>
    </row>
    <row r="40" spans="1:28" ht="11.25" customHeight="1" x14ac:dyDescent="0.3">
      <c r="A40" s="107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'TR TE'!$L$40*'TR TE'!$L$49</f>
        <v>0</v>
      </c>
      <c r="M40" s="20">
        <f>'TR TE'!$M$40*'TR TE'!$M$49</f>
        <v>0</v>
      </c>
      <c r="N40" s="20">
        <f>'TR TE'!$N$40*'TR TE'!$N$49</f>
        <v>0</v>
      </c>
      <c r="O40" s="20">
        <f>'TR TE'!$O$40*'TR TE'!$O$49</f>
        <v>0</v>
      </c>
      <c r="P40" s="20">
        <f>'TR TE'!$P$40*'TR TE'!$P$49</f>
        <v>0</v>
      </c>
      <c r="Q40" s="20">
        <f>SUM($L$40:$P$40)</f>
        <v>0</v>
      </c>
      <c r="R40" s="20">
        <f>'TR TE'!$R$40*'TR TE'!$R$49</f>
        <v>274.92811417175193</v>
      </c>
      <c r="S40" s="20">
        <f>SUM($R$40:$R$40)</f>
        <v>274.92811417175193</v>
      </c>
      <c r="T40" s="20">
        <f>'TR TE'!$T$40*'TR TE'!$T$49</f>
        <v>0</v>
      </c>
      <c r="U40" s="20">
        <f>'TR TE'!$U$40*'TR TE'!$U$49</f>
        <v>0</v>
      </c>
      <c r="V40" s="20">
        <f>'TR TE'!$V$40*'TR TE'!$V$49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TE'!$Z$49</f>
        <v>0</v>
      </c>
      <c r="AA40" s="20">
        <f>SUM($Z$40:$Z$40)</f>
        <v>0</v>
      </c>
      <c r="AB40" s="20">
        <f>SUMIF($L$4:$AA$4,"SUBTOTAL",$L$40:$AA$40)</f>
        <v>274.92811417175193</v>
      </c>
    </row>
    <row r="41" spans="1:28" ht="11.25" customHeight="1" x14ac:dyDescent="0.3">
      <c r="A41" s="107" t="s">
        <v>44</v>
      </c>
      <c r="B41" s="107" t="s">
        <v>71</v>
      </c>
      <c r="C41" s="107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546.72599999999989</v>
      </c>
      <c r="J41" s="15"/>
      <c r="L41" s="20">
        <f>'TR TE'!$L$41*'TR TE'!$L$49</f>
        <v>0</v>
      </c>
      <c r="M41" s="20">
        <f>'TR TE'!$M$41*'TR TE'!$M$49</f>
        <v>0</v>
      </c>
      <c r="N41" s="20">
        <f>'TR TE'!$N$41*'TR TE'!$N$49</f>
        <v>0</v>
      </c>
      <c r="O41" s="20">
        <f>'TR TE'!$O$41*'TR TE'!$O$49</f>
        <v>0</v>
      </c>
      <c r="P41" s="20">
        <f>'TR TE'!$P$41*'TR TE'!$P$49</f>
        <v>0</v>
      </c>
      <c r="Q41" s="20">
        <f>SUM($L$41:$P$41)</f>
        <v>0</v>
      </c>
      <c r="R41" s="20">
        <f>'TR TE'!$R$41*'TR TE'!$R$49</f>
        <v>151.21046279446358</v>
      </c>
      <c r="S41" s="20">
        <f>SUM($R$41:$R$41)</f>
        <v>151.21046279446358</v>
      </c>
      <c r="T41" s="20">
        <f>'TR TE'!$T$41*'TR TE'!$T$49</f>
        <v>0</v>
      </c>
      <c r="U41" s="20">
        <f>'TR TE'!$U$41*'TR TE'!$U$49</f>
        <v>0</v>
      </c>
      <c r="V41" s="20">
        <f>'TR TE'!$V$41*'TR TE'!$V$49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TE'!$Z$49</f>
        <v>0</v>
      </c>
      <c r="AA41" s="20">
        <f>SUM($Z$41:$Z$41)</f>
        <v>0</v>
      </c>
      <c r="AB41" s="20">
        <f>SUMIF($L$4:$AA$4,"SUBTOTAL",$L$41:$AA$41)</f>
        <v>151.21046279446358</v>
      </c>
    </row>
    <row r="42" spans="1:28" ht="11.25" customHeight="1" x14ac:dyDescent="0.3">
      <c r="A42" s="107"/>
      <c r="B42" s="107"/>
      <c r="C42" s="107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'TR TE'!$L$42*'TR TE'!$L$49</f>
        <v>0</v>
      </c>
      <c r="M42" s="20">
        <f>'TR TE'!$M$42*'TR TE'!$M$49</f>
        <v>0</v>
      </c>
      <c r="N42" s="20">
        <f>'TR TE'!$N$42*'TR TE'!$N$49</f>
        <v>0</v>
      </c>
      <c r="O42" s="20">
        <f>'TR TE'!$O$42*'TR TE'!$O$49</f>
        <v>0</v>
      </c>
      <c r="P42" s="20">
        <f>'TR TE'!$P$42*'TR TE'!$P$49</f>
        <v>0</v>
      </c>
      <c r="Q42" s="20">
        <f>SUM($L$42:$P$42)</f>
        <v>0</v>
      </c>
      <c r="R42" s="20">
        <f>'TR TE'!$R$42*'TR TE'!$R$49</f>
        <v>164.95686850305114</v>
      </c>
      <c r="S42" s="20">
        <f>SUM($R$42:$R$42)</f>
        <v>164.95686850305114</v>
      </c>
      <c r="T42" s="20">
        <f>'TR TE'!$T$42*'TR TE'!$T$49</f>
        <v>0</v>
      </c>
      <c r="U42" s="20">
        <f>'TR TE'!$U$42*'TR TE'!$U$49</f>
        <v>0</v>
      </c>
      <c r="V42" s="20">
        <f>'TR TE'!$V$42*'TR TE'!$V$49</f>
        <v>0</v>
      </c>
      <c r="W42" s="20">
        <f>SUM($T$42:$V$42)</f>
        <v>0</v>
      </c>
      <c r="X42" s="20"/>
      <c r="Y42" s="20">
        <f>SUM($X$42:$X$42)</f>
        <v>0</v>
      </c>
      <c r="Z42" s="20">
        <f>'TR TE'!$Z$42*'TR TE'!$Z$49</f>
        <v>0</v>
      </c>
      <c r="AA42" s="20">
        <f>SUM($Z$42:$Z$42)</f>
        <v>0</v>
      </c>
      <c r="AB42" s="20">
        <f>SUMIF($L$4:$AA$4,"SUBTOTAL",$L$42:$AA$42)</f>
        <v>164.95686850305114</v>
      </c>
    </row>
    <row r="44" spans="1:28" ht="11.25" customHeight="1" x14ac:dyDescent="0.3">
      <c r="K44" s="25" t="s">
        <v>518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2984438.2373716193</v>
      </c>
      <c r="S44" s="20">
        <f t="shared" si="0"/>
        <v>2984438.2373716193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2984438.2373716193</v>
      </c>
    </row>
    <row r="45" spans="1:28" ht="11.25" customHeight="1" x14ac:dyDescent="0.3">
      <c r="K45" s="25" t="s">
        <v>437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2984438.2373716203</v>
      </c>
      <c r="S45" s="20">
        <f>CUSTOS!$D$37</f>
        <v>2984438.2373716203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2984438.2373716203</v>
      </c>
    </row>
    <row r="46" spans="1:28" ht="11.25" customHeight="1" x14ac:dyDescent="0.3">
      <c r="K46" s="25" t="s">
        <v>438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-62078.650961011466</v>
      </c>
      <c r="S46" s="20">
        <f>CUSTOS!$E$37</f>
        <v>-62078.650961011466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-62078.650961011466</v>
      </c>
    </row>
    <row r="47" spans="1:28" ht="11.25" customHeight="1" x14ac:dyDescent="0.3">
      <c r="K47" s="25" t="s">
        <v>439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519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-5.7624408038930923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3">
      <c r="K49" s="25" t="s">
        <v>506</v>
      </c>
      <c r="L49" s="20">
        <f>IF(L45&lt;&gt;0,L46/L45,0)</f>
        <v>0</v>
      </c>
      <c r="M49" s="20">
        <f>IF(M45&lt;&gt;0,M46/M45,0)</f>
        <v>0</v>
      </c>
      <c r="N49" s="20">
        <f>IF(N45&lt;&gt;0,N46/N45,0)</f>
        <v>0</v>
      </c>
      <c r="O49" s="20">
        <f>IF(O45&lt;&gt;0,O46/O45,0)</f>
        <v>0</v>
      </c>
      <c r="P49" s="20">
        <f>IF(P45&lt;&gt;0,P46/P45,0)</f>
        <v>0</v>
      </c>
      <c r="Q49" s="20"/>
      <c r="R49" s="20">
        <f>IF(R45&lt;&gt;0,R46/R45,0)</f>
        <v>-2.0800782600776425E-2</v>
      </c>
      <c r="S49" s="20"/>
      <c r="T49" s="20">
        <f>IF(T45&lt;&gt;0,T46/T45,0)</f>
        <v>0</v>
      </c>
      <c r="U49" s="20">
        <f>IF(U45&lt;&gt;0,U46/U45,0)</f>
        <v>0</v>
      </c>
      <c r="V49" s="20">
        <f>IF(V45&lt;&gt;0,V46/V45,0)</f>
        <v>0</v>
      </c>
      <c r="W49" s="20"/>
      <c r="X49" s="20">
        <f>IF(($AB45-0)&lt;&gt;0,X46/($AB45-0),0)</f>
        <v>0</v>
      </c>
      <c r="Y49" s="20"/>
      <c r="Z49" s="20">
        <f>IF(Z45&lt;&gt;0,Z46/Z45,0)</f>
        <v>0</v>
      </c>
      <c r="AA49" s="20"/>
      <c r="AB49" s="20"/>
    </row>
    <row r="50" spans="11:28" ht="11.25" customHeight="1" x14ac:dyDescent="0.3">
      <c r="K50" s="25" t="s">
        <v>521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648" priority="33" operator="notEqual">
      <formula>$L$45</formula>
    </cfRule>
    <cfRule type="cellIs" dxfId="647" priority="34" operator="equal">
      <formula>$L$45</formula>
    </cfRule>
  </conditionalFormatting>
  <conditionalFormatting sqref="M44">
    <cfRule type="cellIs" dxfId="646" priority="31" operator="notEqual">
      <formula>$M$45</formula>
    </cfRule>
    <cfRule type="cellIs" dxfId="645" priority="32" operator="equal">
      <formula>$M$45</formula>
    </cfRule>
  </conditionalFormatting>
  <conditionalFormatting sqref="N44">
    <cfRule type="cellIs" dxfId="644" priority="29" operator="notEqual">
      <formula>$N$45</formula>
    </cfRule>
    <cfRule type="cellIs" dxfId="643" priority="30" operator="equal">
      <formula>$N$45</formula>
    </cfRule>
  </conditionalFormatting>
  <conditionalFormatting sqref="O44">
    <cfRule type="cellIs" dxfId="642" priority="27" operator="notEqual">
      <formula>$O$45</formula>
    </cfRule>
    <cfRule type="cellIs" dxfId="641" priority="28" operator="equal">
      <formula>$O$45</formula>
    </cfRule>
  </conditionalFormatting>
  <conditionalFormatting sqref="P44">
    <cfRule type="cellIs" dxfId="640" priority="25" operator="notEqual">
      <formula>$P$45</formula>
    </cfRule>
    <cfRule type="cellIs" dxfId="639" priority="26" operator="equal">
      <formula>$P$45</formula>
    </cfRule>
  </conditionalFormatting>
  <conditionalFormatting sqref="Q44">
    <cfRule type="cellIs" dxfId="638" priority="23" operator="notEqual">
      <formula>$Q$45</formula>
    </cfRule>
    <cfRule type="cellIs" dxfId="637" priority="24" operator="equal">
      <formula>$Q$45</formula>
    </cfRule>
  </conditionalFormatting>
  <conditionalFormatting sqref="R44">
    <cfRule type="cellIs" dxfId="636" priority="21" operator="notEqual">
      <formula>$R$45</formula>
    </cfRule>
    <cfRule type="cellIs" dxfId="635" priority="22" operator="equal">
      <formula>$R$45</formula>
    </cfRule>
  </conditionalFormatting>
  <conditionalFormatting sqref="S44">
    <cfRule type="cellIs" dxfId="634" priority="19" operator="notEqual">
      <formula>$S$45</formula>
    </cfRule>
    <cfRule type="cellIs" dxfId="633" priority="20" operator="equal">
      <formula>$S$45</formula>
    </cfRule>
  </conditionalFormatting>
  <conditionalFormatting sqref="T44">
    <cfRule type="cellIs" dxfId="632" priority="17" operator="notEqual">
      <formula>$T$45</formula>
    </cfRule>
    <cfRule type="cellIs" dxfId="631" priority="18" operator="equal">
      <formula>$T$45</formula>
    </cfRule>
  </conditionalFormatting>
  <conditionalFormatting sqref="U44">
    <cfRule type="cellIs" dxfId="630" priority="15" operator="notEqual">
      <formula>$U$45</formula>
    </cfRule>
    <cfRule type="cellIs" dxfId="629" priority="16" operator="equal">
      <formula>$U$45</formula>
    </cfRule>
  </conditionalFormatting>
  <conditionalFormatting sqref="V44">
    <cfRule type="cellIs" dxfId="628" priority="13" operator="notEqual">
      <formula>$V$45</formula>
    </cfRule>
    <cfRule type="cellIs" dxfId="627" priority="14" operator="equal">
      <formula>$V$45</formula>
    </cfRule>
  </conditionalFormatting>
  <conditionalFormatting sqref="W44">
    <cfRule type="cellIs" dxfId="626" priority="11" operator="notEqual">
      <formula>$W$45</formula>
    </cfRule>
    <cfRule type="cellIs" dxfId="625" priority="12" operator="equal">
      <formula>$W$45</formula>
    </cfRule>
  </conditionalFormatting>
  <conditionalFormatting sqref="X44">
    <cfRule type="cellIs" dxfId="624" priority="9" operator="notEqual">
      <formula>$X$45</formula>
    </cfRule>
    <cfRule type="cellIs" dxfId="623" priority="10" operator="equal">
      <formula>$X$45</formula>
    </cfRule>
  </conditionalFormatting>
  <conditionalFormatting sqref="Y44">
    <cfRule type="cellIs" dxfId="622" priority="7" operator="notEqual">
      <formula>$Y$45</formula>
    </cfRule>
    <cfRule type="cellIs" dxfId="621" priority="8" operator="equal">
      <formula>$Y$45</formula>
    </cfRule>
  </conditionalFormatting>
  <conditionalFormatting sqref="Z44">
    <cfRule type="cellIs" dxfId="620" priority="5" operator="notEqual">
      <formula>$Z$45</formula>
    </cfRule>
    <cfRule type="cellIs" dxfId="619" priority="6" operator="equal">
      <formula>$Z$45</formula>
    </cfRule>
  </conditionalFormatting>
  <conditionalFormatting sqref="AA44">
    <cfRule type="cellIs" dxfId="618" priority="3" operator="notEqual">
      <formula>$AA$45</formula>
    </cfRule>
    <cfRule type="cellIs" dxfId="617" priority="4" operator="equal">
      <formula>$AA$45</formula>
    </cfRule>
  </conditionalFormatting>
  <conditionalFormatting sqref="AB44">
    <cfRule type="cellIs" dxfId="616" priority="1" operator="notEqual">
      <formula>$AB$45</formula>
    </cfRule>
    <cfRule type="cellIs" dxfId="61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DB16-51B2-4D8D-9E38-493C7BD8B532}">
  <dimension ref="A1:AB50"/>
  <sheetViews>
    <sheetView showGridLines="0" topLeftCell="G26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6.33203125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6.77734375" style="9" bestFit="1" customWidth="1"/>
    <col min="10" max="10" width="8.88671875" style="9"/>
    <col min="11" max="11" width="19.88671875" style="9" bestFit="1" customWidth="1"/>
    <col min="12" max="14" width="7.6640625" style="9" bestFit="1" customWidth="1"/>
    <col min="15" max="15" width="10.77734375" style="9" bestFit="1" customWidth="1"/>
    <col min="16" max="16" width="7.88671875" style="9" bestFit="1" customWidth="1"/>
    <col min="17" max="17" width="9" style="9" bestFit="1" customWidth="1"/>
    <col min="18" max="18" width="14.5546875" style="9" bestFit="1" customWidth="1"/>
    <col min="19" max="19" width="9.6640625" style="9" bestFit="1" customWidth="1"/>
    <col min="20" max="20" width="7.6640625" style="9" bestFit="1" customWidth="1"/>
    <col min="21" max="21" width="10.109375" style="9" bestFit="1" customWidth="1"/>
    <col min="22" max="22" width="7.6640625" style="9" bestFit="1" customWidth="1"/>
    <col min="23" max="23" width="9" style="9" bestFit="1" customWidth="1"/>
    <col min="24" max="24" width="7.77734375" style="9" bestFit="1" customWidth="1"/>
    <col min="25" max="25" width="9" style="9" bestFit="1" customWidth="1"/>
    <col min="26" max="26" width="10.6640625" style="9" bestFit="1" customWidth="1"/>
    <col min="27" max="27" width="9" style="9" bestFit="1" customWidth="1"/>
    <col min="28" max="28" width="9.6640625" style="9" bestFit="1" customWidth="1"/>
    <col min="29" max="16384" width="8.88671875" style="9"/>
  </cols>
  <sheetData>
    <row r="1" spans="1:28" ht="11.25" customHeight="1" x14ac:dyDescent="0.3">
      <c r="A1" s="106" t="s">
        <v>58</v>
      </c>
      <c r="B1" s="106" t="s">
        <v>59</v>
      </c>
      <c r="C1" s="106" t="s">
        <v>60</v>
      </c>
      <c r="D1" s="106" t="s">
        <v>61</v>
      </c>
      <c r="E1" s="106" t="s">
        <v>62</v>
      </c>
      <c r="F1" s="106" t="s">
        <v>15</v>
      </c>
      <c r="G1" s="106" t="s">
        <v>64</v>
      </c>
      <c r="H1" s="106" t="s">
        <v>65</v>
      </c>
      <c r="I1" s="106" t="s">
        <v>496</v>
      </c>
      <c r="J1" s="94"/>
      <c r="L1" s="104" t="s">
        <v>523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94"/>
      <c r="L2" s="104" t="s">
        <v>423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6"/>
      <c r="B3" s="106"/>
      <c r="C3" s="106"/>
      <c r="D3" s="106"/>
      <c r="E3" s="106"/>
      <c r="F3" s="106"/>
      <c r="G3" s="106"/>
      <c r="H3" s="106"/>
      <c r="I3" s="106"/>
      <c r="J3" s="94"/>
      <c r="L3" s="104" t="s">
        <v>396</v>
      </c>
      <c r="M3" s="104"/>
      <c r="N3" s="104"/>
      <c r="O3" s="104"/>
      <c r="P3" s="104"/>
      <c r="Q3" s="104"/>
      <c r="R3" s="104" t="s">
        <v>427</v>
      </c>
      <c r="S3" s="104"/>
      <c r="T3" s="104" t="s">
        <v>405</v>
      </c>
      <c r="U3" s="104"/>
      <c r="V3" s="104"/>
      <c r="W3" s="104"/>
      <c r="X3" s="104" t="s">
        <v>415</v>
      </c>
      <c r="Y3" s="104"/>
      <c r="Z3" s="104" t="s">
        <v>418</v>
      </c>
      <c r="AA3" s="104"/>
      <c r="AB3" s="104" t="s">
        <v>404</v>
      </c>
    </row>
    <row r="4" spans="1:28" ht="11.25" customHeight="1" x14ac:dyDescent="0.3">
      <c r="A4" s="106"/>
      <c r="B4" s="106"/>
      <c r="C4" s="106"/>
      <c r="D4" s="106"/>
      <c r="E4" s="106"/>
      <c r="F4" s="106"/>
      <c r="G4" s="106"/>
      <c r="H4" s="106"/>
      <c r="I4" s="106"/>
      <c r="J4" s="94"/>
      <c r="L4" s="24" t="s">
        <v>398</v>
      </c>
      <c r="M4" s="24" t="s">
        <v>424</v>
      </c>
      <c r="N4" s="24" t="s">
        <v>425</v>
      </c>
      <c r="O4" s="24" t="s">
        <v>484</v>
      </c>
      <c r="P4" s="24" t="s">
        <v>426</v>
      </c>
      <c r="Q4" s="24" t="s">
        <v>404</v>
      </c>
      <c r="R4" s="24" t="s">
        <v>428</v>
      </c>
      <c r="S4" s="24" t="s">
        <v>404</v>
      </c>
      <c r="T4" s="24" t="s">
        <v>429</v>
      </c>
      <c r="U4" s="24" t="s">
        <v>430</v>
      </c>
      <c r="V4" s="24" t="s">
        <v>431</v>
      </c>
      <c r="W4" s="24" t="s">
        <v>404</v>
      </c>
      <c r="X4" s="24" t="s">
        <v>416</v>
      </c>
      <c r="Y4" s="24" t="s">
        <v>404</v>
      </c>
      <c r="Z4" s="24" t="s">
        <v>432</v>
      </c>
      <c r="AA4" s="24" t="s">
        <v>404</v>
      </c>
      <c r="AB4" s="105"/>
    </row>
    <row r="5" spans="1:28" ht="11.25" customHeight="1" x14ac:dyDescent="0.3">
      <c r="A5" s="107" t="s">
        <v>38</v>
      </c>
      <c r="B5" s="107" t="s">
        <v>67</v>
      </c>
      <c r="C5" s="107" t="s">
        <v>25</v>
      </c>
      <c r="D5" s="107" t="s">
        <v>25</v>
      </c>
      <c r="E5" s="107" t="s">
        <v>25</v>
      </c>
      <c r="F5" s="107" t="s">
        <v>25</v>
      </c>
      <c r="G5" s="23" t="s">
        <v>69</v>
      </c>
      <c r="H5" s="23" t="s">
        <v>68</v>
      </c>
      <c r="I5" s="23">
        <f>'MERCADO TE'!$U$2</f>
        <v>257.68899999999996</v>
      </c>
      <c r="J5" s="15"/>
      <c r="L5" s="20">
        <f>'TE BE'!$L$5*'TE BE'!$L$49</f>
        <v>0</v>
      </c>
      <c r="M5" s="20">
        <f>'TE BE'!$M$5*'TE BE'!$M$49</f>
        <v>0</v>
      </c>
      <c r="N5" s="20">
        <f>'TE BE'!$N$5*'TE BE'!$N$49</f>
        <v>0</v>
      </c>
      <c r="O5" s="20">
        <f>'TE BE'!$O$5*'TE BE'!$O$49</f>
        <v>0</v>
      </c>
      <c r="P5" s="20">
        <f>'TE BE'!$P$5*'TE BE'!$P$49</f>
        <v>0</v>
      </c>
      <c r="Q5" s="20">
        <f>SUM($L$5:$P$5)</f>
        <v>0</v>
      </c>
      <c r="R5" s="20">
        <f>'TE BE'!$R$5*'TE BE'!$R$49</f>
        <v>-5.7187199337280523</v>
      </c>
      <c r="S5" s="20">
        <f>SUM($R$5:$R$5)</f>
        <v>-5.7187199337280523</v>
      </c>
      <c r="T5" s="20">
        <f>'TE BE'!$T$5*'TE BE'!$T$49</f>
        <v>0</v>
      </c>
      <c r="U5" s="20">
        <f>'TE BE'!$U$5*'TE BE'!$U$49</f>
        <v>0</v>
      </c>
      <c r="V5" s="20">
        <f>'TE BE'!$V$5*'TE BE'!$V$49</f>
        <v>0</v>
      </c>
      <c r="W5" s="20">
        <f>SUM($T$5:$V$5)</f>
        <v>0</v>
      </c>
      <c r="X5" s="20">
        <f>'TE BE'!$AB$5*'TE BE'!$X$49</f>
        <v>0</v>
      </c>
      <c r="Y5" s="20">
        <f>SUM($X$5:$X$5)</f>
        <v>0</v>
      </c>
      <c r="Z5" s="20">
        <f>'TE BE'!$Z$5*'TE BE'!$Z$49</f>
        <v>0</v>
      </c>
      <c r="AA5" s="20">
        <f>SUM($Z$5:$Z$5)</f>
        <v>0</v>
      </c>
      <c r="AB5" s="20">
        <f>SUMIF($L$4:$AA$4,"SUBTOTAL",$L$5:$AA$5)</f>
        <v>-5.7187199337280523</v>
      </c>
    </row>
    <row r="6" spans="1:28" ht="11.25" customHeight="1" x14ac:dyDescent="0.3">
      <c r="A6" s="107"/>
      <c r="B6" s="107"/>
      <c r="C6" s="107"/>
      <c r="D6" s="107"/>
      <c r="E6" s="107"/>
      <c r="F6" s="107"/>
      <c r="G6" s="23" t="s">
        <v>70</v>
      </c>
      <c r="H6" s="23" t="s">
        <v>68</v>
      </c>
      <c r="I6" s="23">
        <f>'MERCADO TE'!$U$3</f>
        <v>2720.0279999999998</v>
      </c>
      <c r="J6" s="15"/>
      <c r="L6" s="20">
        <f>'TE BE'!$L$6*'TE BE'!$L$49</f>
        <v>0</v>
      </c>
      <c r="M6" s="20">
        <f>'TE BE'!$M$6*'TE BE'!$M$49</f>
        <v>0</v>
      </c>
      <c r="N6" s="20">
        <f>'TE BE'!$N$6*'TE BE'!$N$49</f>
        <v>0</v>
      </c>
      <c r="O6" s="20">
        <f>'TE BE'!$O$6*'TE BE'!$O$49</f>
        <v>0</v>
      </c>
      <c r="P6" s="20">
        <f>'TE BE'!$P$6*'TE BE'!$P$49</f>
        <v>0</v>
      </c>
      <c r="Q6" s="20">
        <f>SUM($L$6:$P$6)</f>
        <v>0</v>
      </c>
      <c r="R6" s="20">
        <f>'TE BE'!$R$6*'TE BE'!$R$49</f>
        <v>-5.7187199337280523</v>
      </c>
      <c r="S6" s="20">
        <f>SUM($R$6:$R$6)</f>
        <v>-5.7187199337280523</v>
      </c>
      <c r="T6" s="20">
        <f>'TE BE'!$T$6*'TE BE'!$T$49</f>
        <v>0</v>
      </c>
      <c r="U6" s="20">
        <f>'TE BE'!$U$6*'TE BE'!$U$49</f>
        <v>0</v>
      </c>
      <c r="V6" s="20">
        <f>'TE BE'!$V$6*'TE BE'!$V$49</f>
        <v>0</v>
      </c>
      <c r="W6" s="20">
        <f>SUM($T$6:$V$6)</f>
        <v>0</v>
      </c>
      <c r="X6" s="20">
        <f>'TE BE'!$AB$6*'TE BE'!$X$49</f>
        <v>0</v>
      </c>
      <c r="Y6" s="20">
        <f>SUM($X$6:$X$6)</f>
        <v>0</v>
      </c>
      <c r="Z6" s="20">
        <f>'TE BE'!$Z$6*'TE BE'!$Z$49</f>
        <v>0</v>
      </c>
      <c r="AA6" s="20">
        <f>SUM($Z$6:$Z$6)</f>
        <v>0</v>
      </c>
      <c r="AB6" s="20">
        <f>SUMIF($L$4:$AA$4,"SUBTOTAL",$L$6:$AA$6)</f>
        <v>-5.7187199337280523</v>
      </c>
    </row>
    <row r="7" spans="1:28" ht="11.25" customHeight="1" x14ac:dyDescent="0.3">
      <c r="A7" s="107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'TE BE'!$L$7*'TE BE'!$L$49</f>
        <v>0</v>
      </c>
      <c r="M7" s="20">
        <f>'TE BE'!$M$7*'TE BE'!$M$49</f>
        <v>0</v>
      </c>
      <c r="N7" s="20">
        <f>'TE BE'!$N$7*'TE BE'!$N$49</f>
        <v>0</v>
      </c>
      <c r="O7" s="20">
        <f>'TE BE'!$O$7*'TE BE'!$O$49</f>
        <v>0</v>
      </c>
      <c r="P7" s="20">
        <f>'TE BE'!$P$7*'TE BE'!$P$49</f>
        <v>0</v>
      </c>
      <c r="Q7" s="20">
        <f>SUM($L$7:$P$7)</f>
        <v>0</v>
      </c>
      <c r="R7" s="20">
        <f>'TE BE'!$R$7*'TE BE'!$R$49</f>
        <v>-5.7187199337280523</v>
      </c>
      <c r="S7" s="20">
        <f>SUM($R$7:$R$7)</f>
        <v>-5.7187199337280523</v>
      </c>
      <c r="T7" s="20">
        <f>'TE BE'!$T$7*'TE BE'!$T$49</f>
        <v>0</v>
      </c>
      <c r="U7" s="20">
        <f>'TE BE'!$U$7*'TE BE'!$U$49</f>
        <v>0</v>
      </c>
      <c r="V7" s="20">
        <f>'TE BE'!$V$7*'TE BE'!$V$49</f>
        <v>0</v>
      </c>
      <c r="W7" s="20">
        <f>SUM($T$7:$V$7)</f>
        <v>0</v>
      </c>
      <c r="X7" s="20">
        <f>'TE BE'!$AB$7*'TE BE'!$X$49</f>
        <v>0</v>
      </c>
      <c r="Y7" s="20">
        <f>SUM($X$7:$X$7)</f>
        <v>0</v>
      </c>
      <c r="Z7" s="20">
        <f>'TE BE'!$Z$7*'TE BE'!$Z$49</f>
        <v>0</v>
      </c>
      <c r="AA7" s="20">
        <f>SUM($Z$7:$Z$7)</f>
        <v>0</v>
      </c>
      <c r="AB7" s="20">
        <f>SUMIF($L$4:$AA$4,"SUBTOTAL",$L$7:$AA$7)</f>
        <v>-5.7187199337280523</v>
      </c>
    </row>
    <row r="8" spans="1:28" ht="11.25" customHeight="1" x14ac:dyDescent="0.3">
      <c r="A8" s="107" t="s">
        <v>22</v>
      </c>
      <c r="B8" s="107" t="s">
        <v>67</v>
      </c>
      <c r="C8" s="107" t="s">
        <v>24</v>
      </c>
      <c r="D8" s="107" t="s">
        <v>24</v>
      </c>
      <c r="E8" s="107" t="s">
        <v>25</v>
      </c>
      <c r="F8" s="107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'TE BE'!$L$8*'TE BE'!$L$49</f>
        <v>0</v>
      </c>
      <c r="M8" s="20">
        <f>'TE BE'!$M$8*'TE BE'!$M$49</f>
        <v>0</v>
      </c>
      <c r="N8" s="20">
        <f>'TE BE'!$N$8*'TE BE'!$N$49</f>
        <v>0</v>
      </c>
      <c r="O8" s="20">
        <f>'TE BE'!$O$8*'TE BE'!$O$49</f>
        <v>0</v>
      </c>
      <c r="P8" s="20">
        <f>'TE BE'!$P$8*'TE BE'!$P$49</f>
        <v>0</v>
      </c>
      <c r="Q8" s="20">
        <f>SUM($L$8:$P$8)</f>
        <v>0</v>
      </c>
      <c r="R8" s="20">
        <f>'TE BE'!$R$8*'TE BE'!$R$49</f>
        <v>-5.7187199337280523</v>
      </c>
      <c r="S8" s="20">
        <f>SUM($R$8:$R$8)</f>
        <v>-5.7187199337280523</v>
      </c>
      <c r="T8" s="20">
        <f>'TE BE'!$T$8*'TE BE'!$T$49</f>
        <v>0</v>
      </c>
      <c r="U8" s="20">
        <f>'TE BE'!$U$8*'TE BE'!$U$49</f>
        <v>0</v>
      </c>
      <c r="V8" s="20">
        <f>'TE BE'!$V$8*'TE BE'!$V$49</f>
        <v>0</v>
      </c>
      <c r="W8" s="20">
        <f>SUM($T$8:$V$8)</f>
        <v>0</v>
      </c>
      <c r="X8" s="20">
        <f>'TE BE'!$AB$8*'TE BE'!$X$49</f>
        <v>0</v>
      </c>
      <c r="Y8" s="20">
        <f>SUM($X$8:$X$8)</f>
        <v>0</v>
      </c>
      <c r="Z8" s="20">
        <f>'TE BE'!$Z$8*'TE BE'!$Z$49</f>
        <v>0</v>
      </c>
      <c r="AA8" s="20">
        <f>SUM($Z$8:$Z$8)</f>
        <v>0</v>
      </c>
      <c r="AB8" s="20">
        <f>SUMIF($L$4:$AA$4,"SUBTOTAL",$L$8:$AA$8)</f>
        <v>-5.7187199337280523</v>
      </c>
    </row>
    <row r="9" spans="1:28" ht="11.25" customHeight="1" x14ac:dyDescent="0.3">
      <c r="A9" s="107"/>
      <c r="B9" s="107"/>
      <c r="C9" s="107"/>
      <c r="D9" s="107"/>
      <c r="E9" s="107"/>
      <c r="F9" s="107"/>
      <c r="G9" s="23" t="s">
        <v>82</v>
      </c>
      <c r="H9" s="23" t="s">
        <v>68</v>
      </c>
      <c r="I9" s="23">
        <f>'MERCADO TE'!$U$6</f>
        <v>0.19500000000000003</v>
      </c>
      <c r="J9" s="15"/>
      <c r="L9" s="20">
        <f>'TE BE'!$L$9*'TE BE'!$L$49</f>
        <v>0</v>
      </c>
      <c r="M9" s="20">
        <f>'TE BE'!$M$9*'TE BE'!$M$49</f>
        <v>0</v>
      </c>
      <c r="N9" s="20">
        <f>'TE BE'!$N$9*'TE BE'!$N$49</f>
        <v>0</v>
      </c>
      <c r="O9" s="20">
        <f>'TE BE'!$O$9*'TE BE'!$O$49</f>
        <v>0</v>
      </c>
      <c r="P9" s="20">
        <f>'TE BE'!$P$9*'TE BE'!$P$49</f>
        <v>0</v>
      </c>
      <c r="Q9" s="20">
        <f>SUM($L$9:$P$9)</f>
        <v>0</v>
      </c>
      <c r="R9" s="20">
        <f>'TE BE'!$R$9*'TE BE'!$R$49</f>
        <v>-5.7187199337280523</v>
      </c>
      <c r="S9" s="20">
        <f>SUM($R$9:$R$9)</f>
        <v>-5.7187199337280523</v>
      </c>
      <c r="T9" s="20">
        <f>'TE BE'!$T$9*'TE BE'!$T$49</f>
        <v>0</v>
      </c>
      <c r="U9" s="20">
        <f>'TE BE'!$U$9*'TE BE'!$U$49</f>
        <v>0</v>
      </c>
      <c r="V9" s="20">
        <f>'TE BE'!$V$9*'TE BE'!$V$49</f>
        <v>0</v>
      </c>
      <c r="W9" s="20">
        <f>SUM($T$9:$V$9)</f>
        <v>0</v>
      </c>
      <c r="X9" s="20">
        <f>'TE BE'!$AB$9*'TE BE'!$X$49</f>
        <v>0</v>
      </c>
      <c r="Y9" s="20">
        <f>SUM($X$9:$X$9)</f>
        <v>0</v>
      </c>
      <c r="Z9" s="20">
        <f>'TE BE'!$Z$9*'TE BE'!$Z$49</f>
        <v>0</v>
      </c>
      <c r="AA9" s="20">
        <f>SUM($Z$9:$Z$9)</f>
        <v>0</v>
      </c>
      <c r="AB9" s="20">
        <f>SUMIF($L$4:$AA$4,"SUBTOTAL",$L$9:$AA$9)</f>
        <v>-5.7187199337280523</v>
      </c>
    </row>
    <row r="10" spans="1:28" ht="11.25" customHeight="1" x14ac:dyDescent="0.3">
      <c r="A10" s="107"/>
      <c r="B10" s="107"/>
      <c r="C10" s="107"/>
      <c r="D10" s="107"/>
      <c r="E10" s="107"/>
      <c r="F10" s="107"/>
      <c r="G10" s="23" t="s">
        <v>70</v>
      </c>
      <c r="H10" s="23" t="s">
        <v>68</v>
      </c>
      <c r="I10" s="23">
        <f>'MERCADO TE'!$U$7</f>
        <v>0.51100000000000001</v>
      </c>
      <c r="J10" s="15"/>
      <c r="L10" s="20">
        <f>'TE BE'!$L$10*'TE BE'!$L$49</f>
        <v>0</v>
      </c>
      <c r="M10" s="20">
        <f>'TE BE'!$M$10*'TE BE'!$M$49</f>
        <v>0</v>
      </c>
      <c r="N10" s="20">
        <f>'TE BE'!$N$10*'TE BE'!$N$49</f>
        <v>0</v>
      </c>
      <c r="O10" s="20">
        <f>'TE BE'!$O$10*'TE BE'!$O$49</f>
        <v>0</v>
      </c>
      <c r="P10" s="20">
        <f>'TE BE'!$P$10*'TE BE'!$P$49</f>
        <v>0</v>
      </c>
      <c r="Q10" s="20">
        <f>SUM($L$10:$P$10)</f>
        <v>0</v>
      </c>
      <c r="R10" s="20">
        <f>'TE BE'!$R$10*'TE BE'!$R$49</f>
        <v>-5.7187199337280523</v>
      </c>
      <c r="S10" s="20">
        <f>SUM($R$10:$R$10)</f>
        <v>-5.7187199337280523</v>
      </c>
      <c r="T10" s="20">
        <f>'TE BE'!$T$10*'TE BE'!$T$49</f>
        <v>0</v>
      </c>
      <c r="U10" s="20">
        <f>'TE BE'!$U$10*'TE BE'!$U$49</f>
        <v>0</v>
      </c>
      <c r="V10" s="20">
        <f>'TE BE'!$V$10*'TE BE'!$V$49</f>
        <v>0</v>
      </c>
      <c r="W10" s="20">
        <f>SUM($T$10:$V$10)</f>
        <v>0</v>
      </c>
      <c r="X10" s="20">
        <f>'TE BE'!$AB$10*'TE BE'!$X$49</f>
        <v>0</v>
      </c>
      <c r="Y10" s="20">
        <f>SUM($X$10:$X$10)</f>
        <v>0</v>
      </c>
      <c r="Z10" s="20">
        <f>'TE BE'!$Z$10*'TE BE'!$Z$49</f>
        <v>0</v>
      </c>
      <c r="AA10" s="20">
        <f>SUM($Z$10:$Z$10)</f>
        <v>0</v>
      </c>
      <c r="AB10" s="20">
        <f>SUMIF($L$4:$AA$4,"SUBTOTAL",$L$10:$AA$10)</f>
        <v>-5.7187199337280523</v>
      </c>
    </row>
    <row r="11" spans="1:28" ht="11.25" customHeight="1" x14ac:dyDescent="0.3">
      <c r="A11" s="107"/>
      <c r="B11" s="107" t="s">
        <v>71</v>
      </c>
      <c r="C11" s="107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5284.665</v>
      </c>
      <c r="J11" s="15"/>
      <c r="L11" s="20">
        <f>'TE BE'!$L$11*'TE BE'!$L$49</f>
        <v>0</v>
      </c>
      <c r="M11" s="20">
        <f>'TE BE'!$M$11*'TE BE'!$M$49</f>
        <v>0</v>
      </c>
      <c r="N11" s="20">
        <f>'TE BE'!$N$11*'TE BE'!$N$49</f>
        <v>0</v>
      </c>
      <c r="O11" s="20">
        <f>'TE BE'!$O$11*'TE BE'!$O$49</f>
        <v>0</v>
      </c>
      <c r="P11" s="20">
        <f>'TE BE'!$P$11*'TE BE'!$P$49</f>
        <v>0</v>
      </c>
      <c r="Q11" s="20">
        <f>SUM($L$11:$P$11)</f>
        <v>0</v>
      </c>
      <c r="R11" s="20">
        <f>'TE BE'!$R$11*'TE BE'!$R$49</f>
        <v>-5.7187199337280523</v>
      </c>
      <c r="S11" s="20">
        <f>SUM($R$11:$R$11)</f>
        <v>-5.7187199337280523</v>
      </c>
      <c r="T11" s="20">
        <f>'TE BE'!$T$11*'TE BE'!$T$49</f>
        <v>0</v>
      </c>
      <c r="U11" s="20">
        <f>'TE BE'!$U$11*'TE BE'!$U$49</f>
        <v>0</v>
      </c>
      <c r="V11" s="20">
        <f>'TE BE'!$V$11*'TE BE'!$V$49</f>
        <v>0</v>
      </c>
      <c r="W11" s="20">
        <f>SUM($T$11:$V$11)</f>
        <v>0</v>
      </c>
      <c r="X11" s="20">
        <f>'TE BE'!$AB$11*'TE BE'!$X$49</f>
        <v>0</v>
      </c>
      <c r="Y11" s="20">
        <f>SUM($X$11:$X$11)</f>
        <v>0</v>
      </c>
      <c r="Z11" s="20">
        <f>'TE BE'!$Z$11*'TE BE'!$Z$49</f>
        <v>0</v>
      </c>
      <c r="AA11" s="20">
        <f>SUM($Z$11:$Z$11)</f>
        <v>0</v>
      </c>
      <c r="AB11" s="20">
        <f>SUMIF($L$4:$AA$4,"SUBTOTAL",$L$11:$AA$11)</f>
        <v>-5.7187199337280523</v>
      </c>
    </row>
    <row r="12" spans="1:28" ht="11.25" customHeight="1" x14ac:dyDescent="0.3">
      <c r="A12" s="107"/>
      <c r="B12" s="107"/>
      <c r="C12" s="107"/>
      <c r="D12" s="22" t="s">
        <v>29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53.816000000000003</v>
      </c>
      <c r="J12" s="15"/>
      <c r="L12" s="20">
        <f>'TE BE'!$L$12*'TE BE'!$L$49</f>
        <v>0</v>
      </c>
      <c r="M12" s="20">
        <f>'TE BE'!$M$12*'TE BE'!$M$49</f>
        <v>0</v>
      </c>
      <c r="N12" s="20">
        <f>'TE BE'!$N$12*'TE BE'!$N$49</f>
        <v>0</v>
      </c>
      <c r="O12" s="20">
        <f>'TE BE'!$O$12*'TE BE'!$O$49</f>
        <v>0</v>
      </c>
      <c r="P12" s="20">
        <f>'TE BE'!$P$12*'TE BE'!$P$49</f>
        <v>0</v>
      </c>
      <c r="Q12" s="20">
        <f>SUM($L$12:$P$12)</f>
        <v>0</v>
      </c>
      <c r="R12" s="20">
        <f>'TE BE'!$R$12*'TE BE'!$R$49</f>
        <v>-5.7187199337280523</v>
      </c>
      <c r="S12" s="20">
        <f>SUM($R$12:$R$12)</f>
        <v>-5.7187199337280523</v>
      </c>
      <c r="T12" s="20">
        <f>'TE BE'!$T$12*'TE BE'!$T$49</f>
        <v>0</v>
      </c>
      <c r="U12" s="20">
        <f>'TE BE'!$U$12*'TE BE'!$U$49</f>
        <v>0</v>
      </c>
      <c r="V12" s="20">
        <f>'TE BE'!$V$12*'TE BE'!$V$49</f>
        <v>0</v>
      </c>
      <c r="W12" s="20">
        <f>SUM($T$12:$V$12)</f>
        <v>0</v>
      </c>
      <c r="X12" s="20">
        <f>'TE BE'!$AB$12*'TE BE'!$X$49</f>
        <v>0</v>
      </c>
      <c r="Y12" s="20">
        <f>SUM($X$12:$X$12)</f>
        <v>0</v>
      </c>
      <c r="Z12" s="20">
        <f>'TE BE'!$Z$12*'TE BE'!$Z$49</f>
        <v>0</v>
      </c>
      <c r="AA12" s="20">
        <f>SUM($Z$12:$Z$12)</f>
        <v>0</v>
      </c>
      <c r="AB12" s="20">
        <f>SUMIF($L$4:$AA$4,"SUBTOTAL",$L$12:$AA$12)</f>
        <v>-5.7187199337280523</v>
      </c>
    </row>
    <row r="13" spans="1:28" ht="11.25" customHeight="1" x14ac:dyDescent="0.3">
      <c r="A13" s="107"/>
      <c r="B13" s="107"/>
      <c r="C13" s="107"/>
      <c r="D13" s="22" t="s">
        <v>30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106.858</v>
      </c>
      <c r="J13" s="15"/>
      <c r="L13" s="20">
        <f>'TE BE'!$L$13*'TE BE'!$L$49</f>
        <v>0</v>
      </c>
      <c r="M13" s="20">
        <f>'TE BE'!$M$13*'TE BE'!$M$49</f>
        <v>0</v>
      </c>
      <c r="N13" s="20">
        <f>'TE BE'!$N$13*'TE BE'!$N$49</f>
        <v>0</v>
      </c>
      <c r="O13" s="20">
        <f>'TE BE'!$O$13*'TE BE'!$O$49</f>
        <v>0</v>
      </c>
      <c r="P13" s="20">
        <f>'TE BE'!$P$13*'TE BE'!$P$49</f>
        <v>0</v>
      </c>
      <c r="Q13" s="20">
        <f>SUM($L$13:$P$13)</f>
        <v>0</v>
      </c>
      <c r="R13" s="20">
        <f>'TE BE'!$R$13*'TE BE'!$R$49</f>
        <v>-5.7187199337280523</v>
      </c>
      <c r="S13" s="20">
        <f>SUM($R$13:$R$13)</f>
        <v>-5.7187199337280523</v>
      </c>
      <c r="T13" s="20">
        <f>'TE BE'!$T$13*'TE BE'!$T$49</f>
        <v>0</v>
      </c>
      <c r="U13" s="20">
        <f>'TE BE'!$U$13*'TE BE'!$U$49</f>
        <v>0</v>
      </c>
      <c r="V13" s="20">
        <f>'TE BE'!$V$13*'TE BE'!$V$49</f>
        <v>0</v>
      </c>
      <c r="W13" s="20">
        <f>SUM($T$13:$V$13)</f>
        <v>0</v>
      </c>
      <c r="X13" s="20">
        <f>'TE BE'!$AB$13*'TE BE'!$X$49</f>
        <v>0</v>
      </c>
      <c r="Y13" s="20">
        <f>SUM($X$13:$X$13)</f>
        <v>0</v>
      </c>
      <c r="Z13" s="20">
        <f>'TE BE'!$Z$13*'TE BE'!$Z$49</f>
        <v>0</v>
      </c>
      <c r="AA13" s="20">
        <f>SUM($Z$13:$Z$13)</f>
        <v>0</v>
      </c>
      <c r="AB13" s="20">
        <f>SUMIF($L$4:$AA$4,"SUBTOTAL",$L$13:$AA$13)</f>
        <v>-5.7187199337280523</v>
      </c>
    </row>
    <row r="14" spans="1:28" ht="11.25" customHeight="1" x14ac:dyDescent="0.3">
      <c r="A14" s="107"/>
      <c r="B14" s="107"/>
      <c r="C14" s="107"/>
      <c r="D14" s="22" t="s">
        <v>31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84.406000000000006</v>
      </c>
      <c r="J14" s="15"/>
      <c r="L14" s="20">
        <f>'TE BE'!$L$14*'TE BE'!$L$49</f>
        <v>0</v>
      </c>
      <c r="M14" s="20">
        <f>'TE BE'!$M$14*'TE BE'!$M$49</f>
        <v>0</v>
      </c>
      <c r="N14" s="20">
        <f>'TE BE'!$N$14*'TE BE'!$N$49</f>
        <v>0</v>
      </c>
      <c r="O14" s="20">
        <f>'TE BE'!$O$14*'TE BE'!$O$49</f>
        <v>0</v>
      </c>
      <c r="P14" s="20">
        <f>'TE BE'!$P$14*'TE BE'!$P$49</f>
        <v>0</v>
      </c>
      <c r="Q14" s="20">
        <f>SUM($L$14:$P$14)</f>
        <v>0</v>
      </c>
      <c r="R14" s="20">
        <f>'TE BE'!$R$14*'TE BE'!$R$49</f>
        <v>-5.7187199337280523</v>
      </c>
      <c r="S14" s="20">
        <f>SUM($R$14:$R$14)</f>
        <v>-5.7187199337280523</v>
      </c>
      <c r="T14" s="20">
        <f>'TE BE'!$T$14*'TE BE'!$T$49</f>
        <v>0</v>
      </c>
      <c r="U14" s="20">
        <f>'TE BE'!$U$14*'TE BE'!$U$49</f>
        <v>0</v>
      </c>
      <c r="V14" s="20">
        <f>'TE BE'!$V$14*'TE BE'!$V$49</f>
        <v>0</v>
      </c>
      <c r="W14" s="20">
        <f>SUM($T$14:$V$14)</f>
        <v>0</v>
      </c>
      <c r="X14" s="20">
        <f>'TE BE'!$AB$14*'TE BE'!$X$49</f>
        <v>0</v>
      </c>
      <c r="Y14" s="20">
        <f>SUM($X$14:$X$14)</f>
        <v>0</v>
      </c>
      <c r="Z14" s="20">
        <f>'TE BE'!$Z$14*'TE BE'!$Z$49</f>
        <v>0</v>
      </c>
      <c r="AA14" s="20">
        <f>SUM($Z$14:$Z$14)</f>
        <v>0</v>
      </c>
      <c r="AB14" s="20">
        <f>SUMIF($L$4:$AA$4,"SUBTOTAL",$L$14:$AA$14)</f>
        <v>-5.7187199337280523</v>
      </c>
    </row>
    <row r="15" spans="1:28" ht="11.25" customHeight="1" x14ac:dyDescent="0.3">
      <c r="A15" s="107"/>
      <c r="B15" s="107"/>
      <c r="C15" s="107"/>
      <c r="D15" s="22" t="s">
        <v>32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19.05</v>
      </c>
      <c r="J15" s="15"/>
      <c r="L15" s="20">
        <f>'TE BE'!$L$15*'TE BE'!$L$49</f>
        <v>0</v>
      </c>
      <c r="M15" s="20">
        <f>'TE BE'!$M$15*'TE BE'!$M$49</f>
        <v>0</v>
      </c>
      <c r="N15" s="20">
        <f>'TE BE'!$N$15*'TE BE'!$N$49</f>
        <v>0</v>
      </c>
      <c r="O15" s="20">
        <f>'TE BE'!$O$15*'TE BE'!$O$49</f>
        <v>0</v>
      </c>
      <c r="P15" s="20">
        <f>'TE BE'!$P$15*'TE BE'!$P$49</f>
        <v>0</v>
      </c>
      <c r="Q15" s="20">
        <f>SUM($L$15:$P$15)</f>
        <v>0</v>
      </c>
      <c r="R15" s="20">
        <f>'TE BE'!$R$15*'TE BE'!$R$49</f>
        <v>-5.7187199337280523</v>
      </c>
      <c r="S15" s="20">
        <f>SUM($R$15:$R$15)</f>
        <v>-5.7187199337280523</v>
      </c>
      <c r="T15" s="20">
        <f>'TE BE'!$T$15*'TE BE'!$T$49</f>
        <v>0</v>
      </c>
      <c r="U15" s="20">
        <f>'TE BE'!$U$15*'TE BE'!$U$49</f>
        <v>0</v>
      </c>
      <c r="V15" s="20">
        <f>'TE BE'!$V$15*'TE BE'!$V$49</f>
        <v>0</v>
      </c>
      <c r="W15" s="20">
        <f>SUM($T$15:$V$15)</f>
        <v>0</v>
      </c>
      <c r="X15" s="20">
        <f>'TE BE'!$AB$15*'TE BE'!$X$49</f>
        <v>0</v>
      </c>
      <c r="Y15" s="20">
        <f>SUM($X$15:$X$15)</f>
        <v>0</v>
      </c>
      <c r="Z15" s="20">
        <f>'TE BE'!$Z$15*'TE BE'!$Z$49</f>
        <v>0</v>
      </c>
      <c r="AA15" s="20">
        <f>SUM($Z$15:$Z$15)</f>
        <v>0</v>
      </c>
      <c r="AB15" s="20">
        <f>SUMIF($L$4:$AA$4,"SUBTOTAL",$L$15:$AA$15)</f>
        <v>-5.7187199337280523</v>
      </c>
    </row>
    <row r="16" spans="1:28" ht="11.25" customHeight="1" x14ac:dyDescent="0.3">
      <c r="A16" s="107"/>
      <c r="B16" s="107" t="s">
        <v>83</v>
      </c>
      <c r="C16" s="107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'TE BE'!$L$16*'TE BE'!$L$49</f>
        <v>0</v>
      </c>
      <c r="M16" s="20">
        <f>'TE BE'!$M$16*'TE BE'!$M$49</f>
        <v>0</v>
      </c>
      <c r="N16" s="20">
        <f>'TE BE'!$N$16*'TE BE'!$N$49</f>
        <v>0</v>
      </c>
      <c r="O16" s="20">
        <f>'TE BE'!$O$16*'TE BE'!$O$49</f>
        <v>0</v>
      </c>
      <c r="P16" s="20">
        <f>'TE BE'!$P$16*'TE BE'!$P$49</f>
        <v>0</v>
      </c>
      <c r="Q16" s="20">
        <f>SUM($L$16:$P$16)</f>
        <v>0</v>
      </c>
      <c r="R16" s="20">
        <f>'TE BE'!$R$16*'TE BE'!$R$49</f>
        <v>-5.7187199337280523</v>
      </c>
      <c r="S16" s="20">
        <f>SUM($R$16:$R$16)</f>
        <v>-5.7187199337280523</v>
      </c>
      <c r="T16" s="20">
        <f>'TE BE'!$T$16*'TE BE'!$T$49</f>
        <v>0</v>
      </c>
      <c r="U16" s="20">
        <f>'TE BE'!$U$16*'TE BE'!$U$49</f>
        <v>0</v>
      </c>
      <c r="V16" s="20">
        <f>'TE BE'!$V$16*'TE BE'!$V$49</f>
        <v>0</v>
      </c>
      <c r="W16" s="20">
        <f>SUM($T$16:$V$16)</f>
        <v>0</v>
      </c>
      <c r="X16" s="20">
        <f>'TE BE'!$AB$16*'TE BE'!$X$49</f>
        <v>0</v>
      </c>
      <c r="Y16" s="20">
        <f>SUM($X$16:$X$16)</f>
        <v>0</v>
      </c>
      <c r="Z16" s="20">
        <f>'TE BE'!$Z$16*'TE BE'!$Z$49</f>
        <v>0</v>
      </c>
      <c r="AA16" s="20">
        <f>SUM($Z$16:$Z$16)</f>
        <v>0</v>
      </c>
      <c r="AB16" s="20">
        <f>SUMIF($L$4:$AA$4,"SUBTOTAL",$L$16:$AA$16)</f>
        <v>-5.7187199337280523</v>
      </c>
    </row>
    <row r="17" spans="1:28" ht="11.25" customHeight="1" x14ac:dyDescent="0.3">
      <c r="A17" s="107"/>
      <c r="B17" s="107"/>
      <c r="C17" s="107"/>
      <c r="D17" s="22" t="s">
        <v>29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'TE BE'!$L$17*'TE BE'!$L$49</f>
        <v>0</v>
      </c>
      <c r="M17" s="20">
        <f>'TE BE'!$M$17*'TE BE'!$M$49</f>
        <v>0</v>
      </c>
      <c r="N17" s="20">
        <f>'TE BE'!$N$17*'TE BE'!$N$49</f>
        <v>0</v>
      </c>
      <c r="O17" s="20">
        <f>'TE BE'!$O$17*'TE BE'!$O$49</f>
        <v>0</v>
      </c>
      <c r="P17" s="20">
        <f>'TE BE'!$P$17*'TE BE'!$P$49</f>
        <v>0</v>
      </c>
      <c r="Q17" s="20">
        <f>SUM($L$17:$P$17)</f>
        <v>0</v>
      </c>
      <c r="R17" s="20">
        <f>'TE BE'!$R$17*'TE BE'!$R$49</f>
        <v>-5.7187199337280523</v>
      </c>
      <c r="S17" s="20">
        <f>SUM($R$17:$R$17)</f>
        <v>-5.7187199337280523</v>
      </c>
      <c r="T17" s="20">
        <f>'TE BE'!$T$17*'TE BE'!$T$49</f>
        <v>0</v>
      </c>
      <c r="U17" s="20">
        <f>'TE BE'!$U$17*'TE BE'!$U$49</f>
        <v>0</v>
      </c>
      <c r="V17" s="20">
        <f>'TE BE'!$V$17*'TE BE'!$V$49</f>
        <v>0</v>
      </c>
      <c r="W17" s="20">
        <f>SUM($T$17:$V$17)</f>
        <v>0</v>
      </c>
      <c r="X17" s="20">
        <f>'TE BE'!$AB$17*'TE BE'!$X$49</f>
        <v>0</v>
      </c>
      <c r="Y17" s="20">
        <f>SUM($X$17:$X$17)</f>
        <v>0</v>
      </c>
      <c r="Z17" s="20">
        <f>'TE BE'!$Z$17*'TE BE'!$Z$49</f>
        <v>0</v>
      </c>
      <c r="AA17" s="20">
        <f>SUM($Z$17:$Z$17)</f>
        <v>0</v>
      </c>
      <c r="AB17" s="20">
        <f>SUMIF($L$4:$AA$4,"SUBTOTAL",$L$17:$AA$17)</f>
        <v>-5.7187199337280523</v>
      </c>
    </row>
    <row r="18" spans="1:28" ht="11.25" customHeight="1" x14ac:dyDescent="0.3">
      <c r="A18" s="107"/>
      <c r="B18" s="107"/>
      <c r="C18" s="107"/>
      <c r="D18" s="22" t="s">
        <v>30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'TE BE'!$L$18*'TE BE'!$L$49</f>
        <v>0</v>
      </c>
      <c r="M18" s="20">
        <f>'TE BE'!$M$18*'TE BE'!$M$49</f>
        <v>0</v>
      </c>
      <c r="N18" s="20">
        <f>'TE BE'!$N$18*'TE BE'!$N$49</f>
        <v>0</v>
      </c>
      <c r="O18" s="20">
        <f>'TE BE'!$O$18*'TE BE'!$O$49</f>
        <v>0</v>
      </c>
      <c r="P18" s="20">
        <f>'TE BE'!$P$18*'TE BE'!$P$49</f>
        <v>0</v>
      </c>
      <c r="Q18" s="20">
        <f>SUM($L$18:$P$18)</f>
        <v>0</v>
      </c>
      <c r="R18" s="20">
        <f>'TE BE'!$R$18*'TE BE'!$R$49</f>
        <v>-5.7187199337280523</v>
      </c>
      <c r="S18" s="20">
        <f>SUM($R$18:$R$18)</f>
        <v>-5.7187199337280523</v>
      </c>
      <c r="T18" s="20">
        <f>'TE BE'!$T$18*'TE BE'!$T$49</f>
        <v>0</v>
      </c>
      <c r="U18" s="20">
        <f>'TE BE'!$U$18*'TE BE'!$U$49</f>
        <v>0</v>
      </c>
      <c r="V18" s="20">
        <f>'TE BE'!$V$18*'TE BE'!$V$49</f>
        <v>0</v>
      </c>
      <c r="W18" s="20">
        <f>SUM($T$18:$V$18)</f>
        <v>0</v>
      </c>
      <c r="X18" s="20">
        <f>'TE BE'!$AB$18*'TE BE'!$X$49</f>
        <v>0</v>
      </c>
      <c r="Y18" s="20">
        <f>SUM($X$18:$X$18)</f>
        <v>0</v>
      </c>
      <c r="Z18" s="20">
        <f>'TE BE'!$Z$18*'TE BE'!$Z$49</f>
        <v>0</v>
      </c>
      <c r="AA18" s="20">
        <f>SUM($Z$18:$Z$18)</f>
        <v>0</v>
      </c>
      <c r="AB18" s="20">
        <f>SUMIF($L$4:$AA$4,"SUBTOTAL",$L$18:$AA$18)</f>
        <v>-5.7187199337280523</v>
      </c>
    </row>
    <row r="19" spans="1:28" ht="11.25" customHeight="1" x14ac:dyDescent="0.3">
      <c r="A19" s="107"/>
      <c r="B19" s="107"/>
      <c r="C19" s="107"/>
      <c r="D19" s="22" t="s">
        <v>31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'TE BE'!$L$19*'TE BE'!$L$49</f>
        <v>0</v>
      </c>
      <c r="M19" s="20">
        <f>'TE BE'!$M$19*'TE BE'!$M$49</f>
        <v>0</v>
      </c>
      <c r="N19" s="20">
        <f>'TE BE'!$N$19*'TE BE'!$N$49</f>
        <v>0</v>
      </c>
      <c r="O19" s="20">
        <f>'TE BE'!$O$19*'TE BE'!$O$49</f>
        <v>0</v>
      </c>
      <c r="P19" s="20">
        <f>'TE BE'!$P$19*'TE BE'!$P$49</f>
        <v>0</v>
      </c>
      <c r="Q19" s="20">
        <f>SUM($L$19:$P$19)</f>
        <v>0</v>
      </c>
      <c r="R19" s="20">
        <f>'TE BE'!$R$19*'TE BE'!$R$49</f>
        <v>-5.7187199337280523</v>
      </c>
      <c r="S19" s="20">
        <f>SUM($R$19:$R$19)</f>
        <v>-5.7187199337280523</v>
      </c>
      <c r="T19" s="20">
        <f>'TE BE'!$T$19*'TE BE'!$T$49</f>
        <v>0</v>
      </c>
      <c r="U19" s="20">
        <f>'TE BE'!$U$19*'TE BE'!$U$49</f>
        <v>0</v>
      </c>
      <c r="V19" s="20">
        <f>'TE BE'!$V$19*'TE BE'!$V$49</f>
        <v>0</v>
      </c>
      <c r="W19" s="20">
        <f>SUM($T$19:$V$19)</f>
        <v>0</v>
      </c>
      <c r="X19" s="20">
        <f>'TE BE'!$AB$19*'TE BE'!$X$49</f>
        <v>0</v>
      </c>
      <c r="Y19" s="20">
        <f>SUM($X$19:$X$19)</f>
        <v>0</v>
      </c>
      <c r="Z19" s="20">
        <f>'TE BE'!$Z$19*'TE BE'!$Z$49</f>
        <v>0</v>
      </c>
      <c r="AA19" s="20">
        <f>SUM($Z$19:$Z$19)</f>
        <v>0</v>
      </c>
      <c r="AB19" s="20">
        <f>SUMIF($L$4:$AA$4,"SUBTOTAL",$L$19:$AA$19)</f>
        <v>-5.7187199337280523</v>
      </c>
    </row>
    <row r="20" spans="1:28" ht="11.25" customHeight="1" x14ac:dyDescent="0.3">
      <c r="A20" s="107"/>
      <c r="B20" s="107"/>
      <c r="C20" s="107"/>
      <c r="D20" s="22" t="s">
        <v>32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'TE BE'!$L$20*'TE BE'!$L$49</f>
        <v>0</v>
      </c>
      <c r="M20" s="20">
        <f>'TE BE'!$M$20*'TE BE'!$M$49</f>
        <v>0</v>
      </c>
      <c r="N20" s="20">
        <f>'TE BE'!$N$20*'TE BE'!$N$49</f>
        <v>0</v>
      </c>
      <c r="O20" s="20">
        <f>'TE BE'!$O$20*'TE BE'!$O$49</f>
        <v>0</v>
      </c>
      <c r="P20" s="20">
        <f>'TE BE'!$P$20*'TE BE'!$P$49</f>
        <v>0</v>
      </c>
      <c r="Q20" s="20">
        <f>SUM($L$20:$P$20)</f>
        <v>0</v>
      </c>
      <c r="R20" s="20">
        <f>'TE BE'!$R$20*'TE BE'!$R$49</f>
        <v>-5.7187199337280523</v>
      </c>
      <c r="S20" s="20">
        <f>SUM($R$20:$R$20)</f>
        <v>-5.7187199337280523</v>
      </c>
      <c r="T20" s="20">
        <f>'TE BE'!$T$20*'TE BE'!$T$49</f>
        <v>0</v>
      </c>
      <c r="U20" s="20">
        <f>'TE BE'!$U$20*'TE BE'!$U$49</f>
        <v>0</v>
      </c>
      <c r="V20" s="20">
        <f>'TE BE'!$V$20*'TE BE'!$V$49</f>
        <v>0</v>
      </c>
      <c r="W20" s="20">
        <f>SUM($T$20:$V$20)</f>
        <v>0</v>
      </c>
      <c r="X20" s="20">
        <f>'TE BE'!$AB$20*'TE BE'!$X$49</f>
        <v>0</v>
      </c>
      <c r="Y20" s="20">
        <f>SUM($X$20:$X$20)</f>
        <v>0</v>
      </c>
      <c r="Z20" s="20">
        <f>'TE BE'!$Z$20*'TE BE'!$Z$49</f>
        <v>0</v>
      </c>
      <c r="AA20" s="20">
        <f>SUM($Z$20:$Z$20)</f>
        <v>0</v>
      </c>
      <c r="AB20" s="20">
        <f>SUMIF($L$4:$AA$4,"SUBTOTAL",$L$20:$AA$20)</f>
        <v>-5.7187199337280523</v>
      </c>
    </row>
    <row r="21" spans="1:28" ht="11.25" customHeight="1" x14ac:dyDescent="0.3">
      <c r="A21" s="107" t="s">
        <v>41</v>
      </c>
      <c r="B21" s="107" t="s">
        <v>67</v>
      </c>
      <c r="C21" s="107" t="s">
        <v>42</v>
      </c>
      <c r="D21" s="107" t="s">
        <v>25</v>
      </c>
      <c r="E21" s="107" t="s">
        <v>25</v>
      </c>
      <c r="F21" s="107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'TE BE'!$L$21*'TE BE'!$L$49</f>
        <v>0</v>
      </c>
      <c r="M21" s="20">
        <f>'TE BE'!$M$21*'TE BE'!$M$49</f>
        <v>0</v>
      </c>
      <c r="N21" s="20">
        <f>'TE BE'!$N$21*'TE BE'!$N$49</f>
        <v>0</v>
      </c>
      <c r="O21" s="20">
        <f>'TE BE'!$O$21*'TE BE'!$O$49</f>
        <v>0</v>
      </c>
      <c r="P21" s="20">
        <f>'TE BE'!$P$21*'TE BE'!$P$49</f>
        <v>0</v>
      </c>
      <c r="Q21" s="20">
        <f>SUM($L$21:$P$21)</f>
        <v>0</v>
      </c>
      <c r="R21" s="20">
        <f>'TE BE'!$R$21*'TE BE'!$R$49</f>
        <v>-5.7187199337280523</v>
      </c>
      <c r="S21" s="20">
        <f>SUM($R$21:$R$21)</f>
        <v>-5.7187199337280523</v>
      </c>
      <c r="T21" s="20">
        <f>'TE BE'!$T$21*'TE BE'!$T$49</f>
        <v>0</v>
      </c>
      <c r="U21" s="20">
        <f>'TE BE'!$U$21*'TE BE'!$U$49</f>
        <v>0</v>
      </c>
      <c r="V21" s="20">
        <f>'TE BE'!$V$21*'TE BE'!$V$49</f>
        <v>0</v>
      </c>
      <c r="W21" s="20">
        <f>SUM($T$21:$V$21)</f>
        <v>0</v>
      </c>
      <c r="X21" s="20">
        <f>'TE BE'!$AB$21*'TE BE'!$X$49</f>
        <v>0</v>
      </c>
      <c r="Y21" s="20">
        <f>SUM($X$21:$X$21)</f>
        <v>0</v>
      </c>
      <c r="Z21" s="20">
        <f>'TE BE'!$Z$21*'TE BE'!$Z$49</f>
        <v>0</v>
      </c>
      <c r="AA21" s="20">
        <f>SUM($Z$21:$Z$21)</f>
        <v>0</v>
      </c>
      <c r="AB21" s="20">
        <f>SUMIF($L$4:$AA$4,"SUBTOTAL",$L$21:$AA$21)</f>
        <v>-5.7187199337280523</v>
      </c>
    </row>
    <row r="22" spans="1:28" ht="11.25" customHeight="1" x14ac:dyDescent="0.3">
      <c r="A22" s="107"/>
      <c r="B22" s="107"/>
      <c r="C22" s="107"/>
      <c r="D22" s="107"/>
      <c r="E22" s="107"/>
      <c r="F22" s="107"/>
      <c r="G22" s="23" t="s">
        <v>82</v>
      </c>
      <c r="H22" s="23" t="s">
        <v>68</v>
      </c>
      <c r="I22" s="23">
        <f>'MERCADO TE'!$U$19</f>
        <v>0</v>
      </c>
      <c r="J22" s="15"/>
      <c r="L22" s="20">
        <f>'TE BE'!$L$22*'TE BE'!$L$49</f>
        <v>0</v>
      </c>
      <c r="M22" s="20">
        <f>'TE BE'!$M$22*'TE BE'!$M$49</f>
        <v>0</v>
      </c>
      <c r="N22" s="20">
        <f>'TE BE'!$N$22*'TE BE'!$N$49</f>
        <v>0</v>
      </c>
      <c r="O22" s="20">
        <f>'TE BE'!$O$22*'TE BE'!$O$49</f>
        <v>0</v>
      </c>
      <c r="P22" s="20">
        <f>'TE BE'!$P$22*'TE BE'!$P$49</f>
        <v>0</v>
      </c>
      <c r="Q22" s="20">
        <f>SUM($L$22:$P$22)</f>
        <v>0</v>
      </c>
      <c r="R22" s="20">
        <f>'TE BE'!$R$22*'TE BE'!$R$49</f>
        <v>-5.7187199337280523</v>
      </c>
      <c r="S22" s="20">
        <f>SUM($R$22:$R$22)</f>
        <v>-5.7187199337280523</v>
      </c>
      <c r="T22" s="20">
        <f>'TE BE'!$T$22*'TE BE'!$T$49</f>
        <v>0</v>
      </c>
      <c r="U22" s="20">
        <f>'TE BE'!$U$22*'TE BE'!$U$49</f>
        <v>0</v>
      </c>
      <c r="V22" s="20">
        <f>'TE BE'!$V$22*'TE BE'!$V$49</f>
        <v>0</v>
      </c>
      <c r="W22" s="20">
        <f>SUM($T$22:$V$22)</f>
        <v>0</v>
      </c>
      <c r="X22" s="20">
        <f>'TE BE'!$AB$22*'TE BE'!$X$49</f>
        <v>0</v>
      </c>
      <c r="Y22" s="20">
        <f>SUM($X$22:$X$22)</f>
        <v>0</v>
      </c>
      <c r="Z22" s="20">
        <f>'TE BE'!$Z$22*'TE BE'!$Z$49</f>
        <v>0</v>
      </c>
      <c r="AA22" s="20">
        <f>SUM($Z$22:$Z$22)</f>
        <v>0</v>
      </c>
      <c r="AB22" s="20">
        <f>SUMIF($L$4:$AA$4,"SUBTOTAL",$L$22:$AA$22)</f>
        <v>-5.7187199337280523</v>
      </c>
    </row>
    <row r="23" spans="1:28" ht="11.25" customHeight="1" x14ac:dyDescent="0.3">
      <c r="A23" s="107"/>
      <c r="B23" s="107"/>
      <c r="C23" s="107"/>
      <c r="D23" s="107"/>
      <c r="E23" s="107"/>
      <c r="F23" s="107"/>
      <c r="G23" s="23" t="s">
        <v>70</v>
      </c>
      <c r="H23" s="23" t="s">
        <v>68</v>
      </c>
      <c r="I23" s="23">
        <f>'MERCADO TE'!$U$20</f>
        <v>0</v>
      </c>
      <c r="J23" s="15"/>
      <c r="L23" s="20">
        <f>'TE BE'!$L$23*'TE BE'!$L$49</f>
        <v>0</v>
      </c>
      <c r="M23" s="20">
        <f>'TE BE'!$M$23*'TE BE'!$M$49</f>
        <v>0</v>
      </c>
      <c r="N23" s="20">
        <f>'TE BE'!$N$23*'TE BE'!$N$49</f>
        <v>0</v>
      </c>
      <c r="O23" s="20">
        <f>'TE BE'!$O$23*'TE BE'!$O$49</f>
        <v>0</v>
      </c>
      <c r="P23" s="20">
        <f>'TE BE'!$P$23*'TE BE'!$P$49</f>
        <v>0</v>
      </c>
      <c r="Q23" s="20">
        <f>SUM($L$23:$P$23)</f>
        <v>0</v>
      </c>
      <c r="R23" s="20">
        <f>'TE BE'!$R$23*'TE BE'!$R$49</f>
        <v>-5.7187199337280523</v>
      </c>
      <c r="S23" s="20">
        <f>SUM($R$23:$R$23)</f>
        <v>-5.7187199337280523</v>
      </c>
      <c r="T23" s="20">
        <f>'TE BE'!$T$23*'TE BE'!$T$49</f>
        <v>0</v>
      </c>
      <c r="U23" s="20">
        <f>'TE BE'!$U$23*'TE BE'!$U$49</f>
        <v>0</v>
      </c>
      <c r="V23" s="20">
        <f>'TE BE'!$V$23*'TE BE'!$V$49</f>
        <v>0</v>
      </c>
      <c r="W23" s="20">
        <f>SUM($T$23:$V$23)</f>
        <v>0</v>
      </c>
      <c r="X23" s="20">
        <f>'TE BE'!$AB$23*'TE BE'!$X$49</f>
        <v>0</v>
      </c>
      <c r="Y23" s="20">
        <f>SUM($X$23:$X$23)</f>
        <v>0</v>
      </c>
      <c r="Z23" s="20">
        <f>'TE BE'!$Z$23*'TE BE'!$Z$49</f>
        <v>0</v>
      </c>
      <c r="AA23" s="20">
        <f>SUM($Z$23:$Z$23)</f>
        <v>0</v>
      </c>
      <c r="AB23" s="20">
        <f>SUMIF($L$4:$AA$4,"SUBTOTAL",$L$23:$AA$23)</f>
        <v>-5.7187199337280523</v>
      </c>
    </row>
    <row r="24" spans="1:28" ht="11.25" customHeight="1" x14ac:dyDescent="0.3">
      <c r="A24" s="107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1383.9670000000001</v>
      </c>
      <c r="J24" s="15"/>
      <c r="L24" s="20">
        <f>'TE BE'!$L$24*'TE BE'!$L$49</f>
        <v>0</v>
      </c>
      <c r="M24" s="20">
        <f>'TE BE'!$M$24*'TE BE'!$M$49</f>
        <v>0</v>
      </c>
      <c r="N24" s="20">
        <f>'TE BE'!$N$24*'TE BE'!$N$49</f>
        <v>0</v>
      </c>
      <c r="O24" s="20">
        <f>'TE BE'!$O$24*'TE BE'!$O$49</f>
        <v>0</v>
      </c>
      <c r="P24" s="20">
        <f>'TE BE'!$P$24*'TE BE'!$P$49</f>
        <v>0</v>
      </c>
      <c r="Q24" s="20">
        <f>SUM($L$24:$P$24)</f>
        <v>0</v>
      </c>
      <c r="R24" s="20">
        <f>'TE BE'!$R$24*'TE BE'!$R$49</f>
        <v>-5.7187199337280523</v>
      </c>
      <c r="S24" s="20">
        <f>SUM($R$24:$R$24)</f>
        <v>-5.7187199337280523</v>
      </c>
      <c r="T24" s="20">
        <f>'TE BE'!$T$24*'TE BE'!$T$49</f>
        <v>0</v>
      </c>
      <c r="U24" s="20">
        <f>'TE BE'!$U$24*'TE BE'!$U$49</f>
        <v>0</v>
      </c>
      <c r="V24" s="20">
        <f>'TE BE'!$V$24*'TE BE'!$V$49</f>
        <v>0</v>
      </c>
      <c r="W24" s="20">
        <f>SUM($T$24:$V$24)</f>
        <v>0</v>
      </c>
      <c r="X24" s="20">
        <f>'TE BE'!$AB$24*'TE BE'!$X$49</f>
        <v>0</v>
      </c>
      <c r="Y24" s="20">
        <f>SUM($X$24:$X$24)</f>
        <v>0</v>
      </c>
      <c r="Z24" s="20">
        <f>'TE BE'!$Z$24*'TE BE'!$Z$49</f>
        <v>0</v>
      </c>
      <c r="AA24" s="20">
        <f>SUM($Z$24:$Z$24)</f>
        <v>0</v>
      </c>
      <c r="AB24" s="20">
        <f>SUMIF($L$4:$AA$4,"SUBTOTAL",$L$24:$AA$24)</f>
        <v>-5.7187199337280523</v>
      </c>
    </row>
    <row r="25" spans="1:28" ht="11.25" customHeight="1" x14ac:dyDescent="0.3">
      <c r="A25" s="107"/>
      <c r="B25" s="107" t="s">
        <v>67</v>
      </c>
      <c r="C25" s="107" t="s">
        <v>42</v>
      </c>
      <c r="D25" s="107" t="s">
        <v>85</v>
      </c>
      <c r="E25" s="107" t="s">
        <v>25</v>
      </c>
      <c r="F25" s="107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'TE BE'!$L$25*'TE BE'!$L$49</f>
        <v>0</v>
      </c>
      <c r="M25" s="20">
        <f>'TE BE'!$M$25*'TE BE'!$M$49</f>
        <v>0</v>
      </c>
      <c r="N25" s="20">
        <f>'TE BE'!$N$25*'TE BE'!$N$49</f>
        <v>0</v>
      </c>
      <c r="O25" s="20">
        <f>'TE BE'!$O$25*'TE BE'!$O$49</f>
        <v>0</v>
      </c>
      <c r="P25" s="20">
        <f>'TE BE'!$P$25*'TE BE'!$P$49</f>
        <v>0</v>
      </c>
      <c r="Q25" s="20">
        <f>SUM($L$25:$P$25)</f>
        <v>0</v>
      </c>
      <c r="R25" s="20">
        <f>'TE BE'!$R$25*'TE BE'!$R$49</f>
        <v>-5.7187199337280523</v>
      </c>
      <c r="S25" s="20">
        <f>SUM($R$25:$R$25)</f>
        <v>-5.7187199337280523</v>
      </c>
      <c r="T25" s="20">
        <f>'TE BE'!$T$25*'TE BE'!$T$49</f>
        <v>0</v>
      </c>
      <c r="U25" s="20">
        <f>'TE BE'!$U$25*'TE BE'!$U$49</f>
        <v>0</v>
      </c>
      <c r="V25" s="20">
        <f>'TE BE'!$V$25*'TE BE'!$V$49</f>
        <v>0</v>
      </c>
      <c r="W25" s="20">
        <f>SUM($T$25:$V$25)</f>
        <v>0</v>
      </c>
      <c r="X25" s="20">
        <f>'TE BE'!$AB$25*'TE BE'!$X$49</f>
        <v>0</v>
      </c>
      <c r="Y25" s="20">
        <f>SUM($X$25:$X$25)</f>
        <v>0</v>
      </c>
      <c r="Z25" s="20">
        <f>'TE BE'!$Z$25*'TE BE'!$Z$49</f>
        <v>0</v>
      </c>
      <c r="AA25" s="20">
        <f>SUM($Z$25:$Z$25)</f>
        <v>0</v>
      </c>
      <c r="AB25" s="20">
        <f>SUMIF($L$4:$AA$4,"SUBTOTAL",$L$25:$AA$25)</f>
        <v>-5.7187199337280523</v>
      </c>
    </row>
    <row r="26" spans="1:28" ht="11.25" customHeight="1" x14ac:dyDescent="0.3">
      <c r="A26" s="107"/>
      <c r="B26" s="107"/>
      <c r="C26" s="107"/>
      <c r="D26" s="107"/>
      <c r="E26" s="107"/>
      <c r="F26" s="107"/>
      <c r="G26" s="23" t="s">
        <v>82</v>
      </c>
      <c r="H26" s="23" t="s">
        <v>68</v>
      </c>
      <c r="I26" s="23">
        <f>'MERCADO TE'!$U$23</f>
        <v>0</v>
      </c>
      <c r="J26" s="15"/>
      <c r="L26" s="20">
        <f>'TE BE'!$L$26*'TE BE'!$L$49</f>
        <v>0</v>
      </c>
      <c r="M26" s="20">
        <f>'TE BE'!$M$26*'TE BE'!$M$49</f>
        <v>0</v>
      </c>
      <c r="N26" s="20">
        <f>'TE BE'!$N$26*'TE BE'!$N$49</f>
        <v>0</v>
      </c>
      <c r="O26" s="20">
        <f>'TE BE'!$O$26*'TE BE'!$O$49</f>
        <v>0</v>
      </c>
      <c r="P26" s="20">
        <f>'TE BE'!$P$26*'TE BE'!$P$49</f>
        <v>0</v>
      </c>
      <c r="Q26" s="20">
        <f>SUM($L$26:$P$26)</f>
        <v>0</v>
      </c>
      <c r="R26" s="20">
        <f>'TE BE'!$R$26*'TE BE'!$R$49</f>
        <v>-5.7187199337280523</v>
      </c>
      <c r="S26" s="20">
        <f>SUM($R$26:$R$26)</f>
        <v>-5.7187199337280523</v>
      </c>
      <c r="T26" s="20">
        <f>'TE BE'!$T$26*'TE BE'!$T$49</f>
        <v>0</v>
      </c>
      <c r="U26" s="20">
        <f>'TE BE'!$U$26*'TE BE'!$U$49</f>
        <v>0</v>
      </c>
      <c r="V26" s="20">
        <f>'TE BE'!$V$26*'TE BE'!$V$49</f>
        <v>0</v>
      </c>
      <c r="W26" s="20">
        <f>SUM($T$26:$V$26)</f>
        <v>0</v>
      </c>
      <c r="X26" s="20">
        <f>'TE BE'!$AB$26*'TE BE'!$X$49</f>
        <v>0</v>
      </c>
      <c r="Y26" s="20">
        <f>SUM($X$26:$X$26)</f>
        <v>0</v>
      </c>
      <c r="Z26" s="20">
        <f>'TE BE'!$Z$26*'TE BE'!$Z$49</f>
        <v>0</v>
      </c>
      <c r="AA26" s="20">
        <f>SUM($Z$26:$Z$26)</f>
        <v>0</v>
      </c>
      <c r="AB26" s="20">
        <f>SUMIF($L$4:$AA$4,"SUBTOTAL",$L$26:$AA$26)</f>
        <v>-5.7187199337280523</v>
      </c>
    </row>
    <row r="27" spans="1:28" ht="11.25" customHeight="1" x14ac:dyDescent="0.3">
      <c r="A27" s="107"/>
      <c r="B27" s="107"/>
      <c r="C27" s="107"/>
      <c r="D27" s="107"/>
      <c r="E27" s="107"/>
      <c r="F27" s="107"/>
      <c r="G27" s="23" t="s">
        <v>70</v>
      </c>
      <c r="H27" s="23" t="s">
        <v>68</v>
      </c>
      <c r="I27" s="23">
        <f>'MERCADO TE'!$U$24</f>
        <v>0</v>
      </c>
      <c r="J27" s="15"/>
      <c r="L27" s="20">
        <f>'TE BE'!$L$27*'TE BE'!$L$49</f>
        <v>0</v>
      </c>
      <c r="M27" s="20">
        <f>'TE BE'!$M$27*'TE BE'!$M$49</f>
        <v>0</v>
      </c>
      <c r="N27" s="20">
        <f>'TE BE'!$N$27*'TE BE'!$N$49</f>
        <v>0</v>
      </c>
      <c r="O27" s="20">
        <f>'TE BE'!$O$27*'TE BE'!$O$49</f>
        <v>0</v>
      </c>
      <c r="P27" s="20">
        <f>'TE BE'!$P$27*'TE BE'!$P$49</f>
        <v>0</v>
      </c>
      <c r="Q27" s="20">
        <f>SUM($L$27:$P$27)</f>
        <v>0</v>
      </c>
      <c r="R27" s="20">
        <f>'TE BE'!$R$27*'TE BE'!$R$49</f>
        <v>-5.7187199337280523</v>
      </c>
      <c r="S27" s="20">
        <f>SUM($R$27:$R$27)</f>
        <v>-5.7187199337280523</v>
      </c>
      <c r="T27" s="20">
        <f>'TE BE'!$T$27*'TE BE'!$T$49</f>
        <v>0</v>
      </c>
      <c r="U27" s="20">
        <f>'TE BE'!$U$27*'TE BE'!$U$49</f>
        <v>0</v>
      </c>
      <c r="V27" s="20">
        <f>'TE BE'!$V$27*'TE BE'!$V$49</f>
        <v>0</v>
      </c>
      <c r="W27" s="20">
        <f>SUM($T$27:$V$27)</f>
        <v>0</v>
      </c>
      <c r="X27" s="20">
        <f>'TE BE'!$AB$27*'TE BE'!$X$49</f>
        <v>0</v>
      </c>
      <c r="Y27" s="20">
        <f>SUM($X$27:$X$27)</f>
        <v>0</v>
      </c>
      <c r="Z27" s="20">
        <f>'TE BE'!$Z$27*'TE BE'!$Z$49</f>
        <v>0</v>
      </c>
      <c r="AA27" s="20">
        <f>SUM($Z$27:$Z$27)</f>
        <v>0</v>
      </c>
      <c r="AB27" s="20">
        <f>SUMIF($L$4:$AA$4,"SUBTOTAL",$L$27:$AA$27)</f>
        <v>-5.7187199337280523</v>
      </c>
    </row>
    <row r="28" spans="1:28" ht="11.25" customHeight="1" x14ac:dyDescent="0.3">
      <c r="A28" s="107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'TE BE'!$L$28*'TE BE'!$L$49</f>
        <v>0</v>
      </c>
      <c r="M28" s="20">
        <f>'TE BE'!$M$28*'TE BE'!$M$49</f>
        <v>0</v>
      </c>
      <c r="N28" s="20">
        <f>'TE BE'!$N$28*'TE BE'!$N$49</f>
        <v>0</v>
      </c>
      <c r="O28" s="20">
        <f>'TE BE'!$O$28*'TE BE'!$O$49</f>
        <v>0</v>
      </c>
      <c r="P28" s="20">
        <f>'TE BE'!$P$28*'TE BE'!$P$49</f>
        <v>0</v>
      </c>
      <c r="Q28" s="20">
        <f>SUM($L$28:$P$28)</f>
        <v>0</v>
      </c>
      <c r="R28" s="20">
        <f>'TE BE'!$R$28*'TE BE'!$R$49</f>
        <v>-5.7187199337280523</v>
      </c>
      <c r="S28" s="20">
        <f>SUM($R$28:$R$28)</f>
        <v>-5.7187199337280523</v>
      </c>
      <c r="T28" s="20">
        <f>'TE BE'!$T$28*'TE BE'!$T$49</f>
        <v>0</v>
      </c>
      <c r="U28" s="20">
        <f>'TE BE'!$U$28*'TE BE'!$U$49</f>
        <v>0</v>
      </c>
      <c r="V28" s="20">
        <f>'TE BE'!$V$28*'TE BE'!$V$49</f>
        <v>0</v>
      </c>
      <c r="W28" s="20">
        <f>SUM($T$28:$V$28)</f>
        <v>0</v>
      </c>
      <c r="X28" s="20">
        <f>'TE BE'!$AB$28*'TE BE'!$X$49</f>
        <v>0</v>
      </c>
      <c r="Y28" s="20">
        <f>SUM($X$28:$X$28)</f>
        <v>0</v>
      </c>
      <c r="Z28" s="20">
        <f>'TE BE'!$Z$28*'TE BE'!$Z$49</f>
        <v>0</v>
      </c>
      <c r="AA28" s="20">
        <f>SUM($Z$28:$Z$28)</f>
        <v>0</v>
      </c>
      <c r="AB28" s="20">
        <f>SUMIF($L$4:$AA$4,"SUBTOTAL",$L$28:$AA$28)</f>
        <v>-5.7187199337280523</v>
      </c>
    </row>
    <row r="29" spans="1:28" ht="11.25" customHeight="1" x14ac:dyDescent="0.3">
      <c r="A29" s="107"/>
      <c r="B29" s="107" t="s">
        <v>67</v>
      </c>
      <c r="C29" s="107" t="s">
        <v>42</v>
      </c>
      <c r="D29" s="107" t="s">
        <v>86</v>
      </c>
      <c r="E29" s="107" t="s">
        <v>25</v>
      </c>
      <c r="F29" s="107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'TE BE'!$L$29*'TE BE'!$L$49</f>
        <v>0</v>
      </c>
      <c r="M29" s="20">
        <f>'TE BE'!$M$29*'TE BE'!$M$49</f>
        <v>0</v>
      </c>
      <c r="N29" s="20">
        <f>'TE BE'!$N$29*'TE BE'!$N$49</f>
        <v>0</v>
      </c>
      <c r="O29" s="20">
        <f>'TE BE'!$O$29*'TE BE'!$O$49</f>
        <v>0</v>
      </c>
      <c r="P29" s="20">
        <f>'TE BE'!$P$29*'TE BE'!$P$49</f>
        <v>0</v>
      </c>
      <c r="Q29" s="20">
        <f>SUM($L$29:$P$29)</f>
        <v>0</v>
      </c>
      <c r="R29" s="20">
        <f>'TE BE'!$R$29*'TE BE'!$R$49</f>
        <v>-5.7187199337280523</v>
      </c>
      <c r="S29" s="20">
        <f>SUM($R$29:$R$29)</f>
        <v>-5.7187199337280523</v>
      </c>
      <c r="T29" s="20">
        <f>'TE BE'!$T$29*'TE BE'!$T$49</f>
        <v>0</v>
      </c>
      <c r="U29" s="20">
        <f>'TE BE'!$U$29*'TE BE'!$U$49</f>
        <v>0</v>
      </c>
      <c r="V29" s="20">
        <f>'TE BE'!$V$29*'TE BE'!$V$49</f>
        <v>0</v>
      </c>
      <c r="W29" s="20">
        <f>SUM($T$29:$V$29)</f>
        <v>0</v>
      </c>
      <c r="X29" s="20">
        <f>'TE BE'!$AB$29*'TE BE'!$X$49</f>
        <v>0</v>
      </c>
      <c r="Y29" s="20">
        <f>SUM($X$29:$X$29)</f>
        <v>0</v>
      </c>
      <c r="Z29" s="20">
        <f>'TE BE'!$Z$29*'TE BE'!$Z$49</f>
        <v>0</v>
      </c>
      <c r="AA29" s="20">
        <f>SUM($Z$29:$Z$29)</f>
        <v>0</v>
      </c>
      <c r="AB29" s="20">
        <f>SUMIF($L$4:$AA$4,"SUBTOTAL",$L$29:$AA$29)</f>
        <v>-5.7187199337280523</v>
      </c>
    </row>
    <row r="30" spans="1:28" ht="11.25" customHeight="1" x14ac:dyDescent="0.3">
      <c r="A30" s="107"/>
      <c r="B30" s="107"/>
      <c r="C30" s="107"/>
      <c r="D30" s="107"/>
      <c r="E30" s="107"/>
      <c r="F30" s="107"/>
      <c r="G30" s="23" t="s">
        <v>82</v>
      </c>
      <c r="H30" s="23" t="s">
        <v>68</v>
      </c>
      <c r="I30" s="23">
        <f>'MERCADO TE'!$U$27</f>
        <v>0</v>
      </c>
      <c r="J30" s="15"/>
      <c r="L30" s="20">
        <f>'TE BE'!$L$30*'TE BE'!$L$49</f>
        <v>0</v>
      </c>
      <c r="M30" s="20">
        <f>'TE BE'!$M$30*'TE BE'!$M$49</f>
        <v>0</v>
      </c>
      <c r="N30" s="20">
        <f>'TE BE'!$N$30*'TE BE'!$N$49</f>
        <v>0</v>
      </c>
      <c r="O30" s="20">
        <f>'TE BE'!$O$30*'TE BE'!$O$49</f>
        <v>0</v>
      </c>
      <c r="P30" s="20">
        <f>'TE BE'!$P$30*'TE BE'!$P$49</f>
        <v>0</v>
      </c>
      <c r="Q30" s="20">
        <f>SUM($L$30:$P$30)</f>
        <v>0</v>
      </c>
      <c r="R30" s="20">
        <f>'TE BE'!$R$30*'TE BE'!$R$49</f>
        <v>-5.7187199337280523</v>
      </c>
      <c r="S30" s="20">
        <f>SUM($R$30:$R$30)</f>
        <v>-5.7187199337280523</v>
      </c>
      <c r="T30" s="20">
        <f>'TE BE'!$T$30*'TE BE'!$T$49</f>
        <v>0</v>
      </c>
      <c r="U30" s="20">
        <f>'TE BE'!$U$30*'TE BE'!$U$49</f>
        <v>0</v>
      </c>
      <c r="V30" s="20">
        <f>'TE BE'!$V$30*'TE BE'!$V$49</f>
        <v>0</v>
      </c>
      <c r="W30" s="20">
        <f>SUM($T$30:$V$30)</f>
        <v>0</v>
      </c>
      <c r="X30" s="20">
        <f>'TE BE'!$AB$30*'TE BE'!$X$49</f>
        <v>0</v>
      </c>
      <c r="Y30" s="20">
        <f>SUM($X$30:$X$30)</f>
        <v>0</v>
      </c>
      <c r="Z30" s="20">
        <f>'TE BE'!$Z$30*'TE BE'!$Z$49</f>
        <v>0</v>
      </c>
      <c r="AA30" s="20">
        <f>SUM($Z$30:$Z$30)</f>
        <v>0</v>
      </c>
      <c r="AB30" s="20">
        <f>SUMIF($L$4:$AA$4,"SUBTOTAL",$L$30:$AA$30)</f>
        <v>-5.7187199337280523</v>
      </c>
    </row>
    <row r="31" spans="1:28" ht="11.25" customHeight="1" x14ac:dyDescent="0.3">
      <c r="A31" s="107"/>
      <c r="B31" s="107"/>
      <c r="C31" s="107"/>
      <c r="D31" s="107"/>
      <c r="E31" s="107"/>
      <c r="F31" s="107"/>
      <c r="G31" s="23" t="s">
        <v>70</v>
      </c>
      <c r="H31" s="23" t="s">
        <v>68</v>
      </c>
      <c r="I31" s="23">
        <f>'MERCADO TE'!$U$28</f>
        <v>0</v>
      </c>
      <c r="J31" s="15"/>
      <c r="L31" s="20">
        <f>'TE BE'!$L$31*'TE BE'!$L$49</f>
        <v>0</v>
      </c>
      <c r="M31" s="20">
        <f>'TE BE'!$M$31*'TE BE'!$M$49</f>
        <v>0</v>
      </c>
      <c r="N31" s="20">
        <f>'TE BE'!$N$31*'TE BE'!$N$49</f>
        <v>0</v>
      </c>
      <c r="O31" s="20">
        <f>'TE BE'!$O$31*'TE BE'!$O$49</f>
        <v>0</v>
      </c>
      <c r="P31" s="20">
        <f>'TE BE'!$P$31*'TE BE'!$P$49</f>
        <v>0</v>
      </c>
      <c r="Q31" s="20">
        <f>SUM($L$31:$P$31)</f>
        <v>0</v>
      </c>
      <c r="R31" s="20">
        <f>'TE BE'!$R$31*'TE BE'!$R$49</f>
        <v>-5.7187199337280523</v>
      </c>
      <c r="S31" s="20">
        <f>SUM($R$31:$R$31)</f>
        <v>-5.7187199337280523</v>
      </c>
      <c r="T31" s="20">
        <f>'TE BE'!$T$31*'TE BE'!$T$49</f>
        <v>0</v>
      </c>
      <c r="U31" s="20">
        <f>'TE BE'!$U$31*'TE BE'!$U$49</f>
        <v>0</v>
      </c>
      <c r="V31" s="20">
        <f>'TE BE'!$V$31*'TE BE'!$V$49</f>
        <v>0</v>
      </c>
      <c r="W31" s="20">
        <f>SUM($T$31:$V$31)</f>
        <v>0</v>
      </c>
      <c r="X31" s="20">
        <f>'TE BE'!$AB$31*'TE BE'!$X$49</f>
        <v>0</v>
      </c>
      <c r="Y31" s="20">
        <f>SUM($X$31:$X$31)</f>
        <v>0</v>
      </c>
      <c r="Z31" s="20">
        <f>'TE BE'!$Z$31*'TE BE'!$Z$49</f>
        <v>0</v>
      </c>
      <c r="AA31" s="20">
        <f>SUM($Z$31:$Z$31)</f>
        <v>0</v>
      </c>
      <c r="AB31" s="20">
        <f>SUMIF($L$4:$AA$4,"SUBTOTAL",$L$31:$AA$31)</f>
        <v>-5.7187199337280523</v>
      </c>
    </row>
    <row r="32" spans="1:28" ht="11.25" customHeight="1" x14ac:dyDescent="0.3">
      <c r="A32" s="107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'TE BE'!$L$32*'TE BE'!$L$49</f>
        <v>0</v>
      </c>
      <c r="M32" s="20">
        <f>'TE BE'!$M$32*'TE BE'!$M$49</f>
        <v>0</v>
      </c>
      <c r="N32" s="20">
        <f>'TE BE'!$N$32*'TE BE'!$N$49</f>
        <v>0</v>
      </c>
      <c r="O32" s="20">
        <f>'TE BE'!$O$32*'TE BE'!$O$49</f>
        <v>0</v>
      </c>
      <c r="P32" s="20">
        <f>'TE BE'!$P$32*'TE BE'!$P$49</f>
        <v>0</v>
      </c>
      <c r="Q32" s="20">
        <f>SUM($L$32:$P$32)</f>
        <v>0</v>
      </c>
      <c r="R32" s="20">
        <f>'TE BE'!$R$32*'TE BE'!$R$49</f>
        <v>-5.7187199337280523</v>
      </c>
      <c r="S32" s="20">
        <f>SUM($R$32:$R$32)</f>
        <v>-5.7187199337280523</v>
      </c>
      <c r="T32" s="20">
        <f>'TE BE'!$T$32*'TE BE'!$T$49</f>
        <v>0</v>
      </c>
      <c r="U32" s="20">
        <f>'TE BE'!$U$32*'TE BE'!$U$49</f>
        <v>0</v>
      </c>
      <c r="V32" s="20">
        <f>'TE BE'!$V$32*'TE BE'!$V$49</f>
        <v>0</v>
      </c>
      <c r="W32" s="20">
        <f>SUM($T$32:$V$32)</f>
        <v>0</v>
      </c>
      <c r="X32" s="20">
        <f>'TE BE'!$AB$32*'TE BE'!$X$49</f>
        <v>0</v>
      </c>
      <c r="Y32" s="20">
        <f>SUM($X$32:$X$32)</f>
        <v>0</v>
      </c>
      <c r="Z32" s="20">
        <f>'TE BE'!$Z$32*'TE BE'!$Z$49</f>
        <v>0</v>
      </c>
      <c r="AA32" s="20">
        <f>SUM($Z$32:$Z$32)</f>
        <v>0</v>
      </c>
      <c r="AB32" s="20">
        <f>SUMIF($L$4:$AA$4,"SUBTOTAL",$L$32:$AA$32)</f>
        <v>-5.7187199337280523</v>
      </c>
    </row>
    <row r="33" spans="1:28" ht="11.25" customHeight="1" x14ac:dyDescent="0.3">
      <c r="A33" s="107"/>
      <c r="B33" s="107" t="s">
        <v>83</v>
      </c>
      <c r="C33" s="107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'TE BE'!$L$33*'TE BE'!$L$49</f>
        <v>0</v>
      </c>
      <c r="M33" s="20">
        <f>'TE BE'!$M$33*'TE BE'!$M$49</f>
        <v>0</v>
      </c>
      <c r="N33" s="20">
        <f>'TE BE'!$N$33*'TE BE'!$N$49</f>
        <v>0</v>
      </c>
      <c r="O33" s="20">
        <f>'TE BE'!$O$33*'TE BE'!$O$49</f>
        <v>0</v>
      </c>
      <c r="P33" s="20">
        <f>'TE BE'!$P$33*'TE BE'!$P$49</f>
        <v>0</v>
      </c>
      <c r="Q33" s="20">
        <f>SUM($L$33:$P$33)</f>
        <v>0</v>
      </c>
      <c r="R33" s="20">
        <f>'TE BE'!$R$33*'TE BE'!$R$49</f>
        <v>-5.7187199337280523</v>
      </c>
      <c r="S33" s="20">
        <f>SUM($R$33:$R$33)</f>
        <v>-5.7187199337280523</v>
      </c>
      <c r="T33" s="20">
        <f>'TE BE'!$T$33*'TE BE'!$T$49</f>
        <v>0</v>
      </c>
      <c r="U33" s="20">
        <f>'TE BE'!$U$33*'TE BE'!$U$49</f>
        <v>0</v>
      </c>
      <c r="V33" s="20">
        <f>'TE BE'!$V$33*'TE BE'!$V$49</f>
        <v>0</v>
      </c>
      <c r="W33" s="20">
        <f>SUM($T$33:$V$33)</f>
        <v>0</v>
      </c>
      <c r="X33" s="20">
        <f>'TE BE'!$AB$33*'TE BE'!$X$49</f>
        <v>0</v>
      </c>
      <c r="Y33" s="20">
        <f>SUM($X$33:$X$33)</f>
        <v>0</v>
      </c>
      <c r="Z33" s="20">
        <f>'TE BE'!$Z$33*'TE BE'!$Z$49</f>
        <v>0</v>
      </c>
      <c r="AA33" s="20">
        <f>SUM($Z$33:$Z$33)</f>
        <v>0</v>
      </c>
      <c r="AB33" s="20">
        <f>SUMIF($L$4:$AA$4,"SUBTOTAL",$L$33:$AA$33)</f>
        <v>-5.7187199337280523</v>
      </c>
    </row>
    <row r="34" spans="1:28" ht="11.25" customHeight="1" x14ac:dyDescent="0.3">
      <c r="A34" s="107"/>
      <c r="B34" s="107"/>
      <c r="C34" s="107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'TE BE'!$L$34*'TE BE'!$L$49</f>
        <v>0</v>
      </c>
      <c r="M34" s="20">
        <f>'TE BE'!$M$34*'TE BE'!$M$49</f>
        <v>0</v>
      </c>
      <c r="N34" s="20">
        <f>'TE BE'!$N$34*'TE BE'!$N$49</f>
        <v>0</v>
      </c>
      <c r="O34" s="20">
        <f>'TE BE'!$O$34*'TE BE'!$O$49</f>
        <v>0</v>
      </c>
      <c r="P34" s="20">
        <f>'TE BE'!$P$34*'TE BE'!$P$49</f>
        <v>0</v>
      </c>
      <c r="Q34" s="20">
        <f>SUM($L$34:$P$34)</f>
        <v>0</v>
      </c>
      <c r="R34" s="20">
        <f>'TE BE'!$R$34*'TE BE'!$R$49</f>
        <v>-5.7187199337280523</v>
      </c>
      <c r="S34" s="20">
        <f>SUM($R$34:$R$34)</f>
        <v>-5.7187199337280523</v>
      </c>
      <c r="T34" s="20">
        <f>'TE BE'!$T$34*'TE BE'!$T$49</f>
        <v>0</v>
      </c>
      <c r="U34" s="20">
        <f>'TE BE'!$U$34*'TE BE'!$U$49</f>
        <v>0</v>
      </c>
      <c r="V34" s="20">
        <f>'TE BE'!$V$34*'TE BE'!$V$49</f>
        <v>0</v>
      </c>
      <c r="W34" s="20">
        <f>SUM($T$34:$V$34)</f>
        <v>0</v>
      </c>
      <c r="X34" s="20">
        <f>'TE BE'!$AB$34*'TE BE'!$X$49</f>
        <v>0</v>
      </c>
      <c r="Y34" s="20">
        <f>SUM($X$34:$X$34)</f>
        <v>0</v>
      </c>
      <c r="Z34" s="20">
        <f>'TE BE'!$Z$34*'TE BE'!$Z$49</f>
        <v>0</v>
      </c>
      <c r="AA34" s="20">
        <f>SUM($Z$34:$Z$34)</f>
        <v>0</v>
      </c>
      <c r="AB34" s="20">
        <f>SUMIF($L$4:$AA$4,"SUBTOTAL",$L$34:$AA$34)</f>
        <v>-5.7187199337280523</v>
      </c>
    </row>
    <row r="35" spans="1:28" ht="11.25" customHeight="1" x14ac:dyDescent="0.3">
      <c r="A35" s="107"/>
      <c r="B35" s="107"/>
      <c r="C35" s="107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'TE BE'!$L$35*'TE BE'!$L$49</f>
        <v>0</v>
      </c>
      <c r="M35" s="20">
        <f>'TE BE'!$M$35*'TE BE'!$M$49</f>
        <v>0</v>
      </c>
      <c r="N35" s="20">
        <f>'TE BE'!$N$35*'TE BE'!$N$49</f>
        <v>0</v>
      </c>
      <c r="O35" s="20">
        <f>'TE BE'!$O$35*'TE BE'!$O$49</f>
        <v>0</v>
      </c>
      <c r="P35" s="20">
        <f>'TE BE'!$P$35*'TE BE'!$P$49</f>
        <v>0</v>
      </c>
      <c r="Q35" s="20">
        <f>SUM($L$35:$P$35)</f>
        <v>0</v>
      </c>
      <c r="R35" s="20">
        <f>'TE BE'!$R$35*'TE BE'!$R$49</f>
        <v>-5.7187199337280523</v>
      </c>
      <c r="S35" s="20">
        <f>SUM($R$35:$R$35)</f>
        <v>-5.7187199337280523</v>
      </c>
      <c r="T35" s="20">
        <f>'TE BE'!$T$35*'TE BE'!$T$49</f>
        <v>0</v>
      </c>
      <c r="U35" s="20">
        <f>'TE BE'!$U$35*'TE BE'!$U$49</f>
        <v>0</v>
      </c>
      <c r="V35" s="20">
        <f>'TE BE'!$V$35*'TE BE'!$V$49</f>
        <v>0</v>
      </c>
      <c r="W35" s="20">
        <f>SUM($T$35:$V$35)</f>
        <v>0</v>
      </c>
      <c r="X35" s="20">
        <f>'TE BE'!$AB$35*'TE BE'!$X$49</f>
        <v>0</v>
      </c>
      <c r="Y35" s="20">
        <f>SUM($X$35:$X$35)</f>
        <v>0</v>
      </c>
      <c r="Z35" s="20">
        <f>'TE BE'!$Z$35*'TE BE'!$Z$49</f>
        <v>0</v>
      </c>
      <c r="AA35" s="20">
        <f>SUM($Z$35:$Z$35)</f>
        <v>0</v>
      </c>
      <c r="AB35" s="20">
        <f>SUMIF($L$4:$AA$4,"SUBTOTAL",$L$35:$AA$35)</f>
        <v>-5.7187199337280523</v>
      </c>
    </row>
    <row r="36" spans="1:28" ht="11.25" customHeight="1" x14ac:dyDescent="0.3">
      <c r="A36" s="107" t="s">
        <v>36</v>
      </c>
      <c r="B36" s="107" t="s">
        <v>67</v>
      </c>
      <c r="C36" s="107" t="s">
        <v>25</v>
      </c>
      <c r="D36" s="107" t="s">
        <v>25</v>
      </c>
      <c r="E36" s="107" t="s">
        <v>25</v>
      </c>
      <c r="F36" s="107" t="s">
        <v>25</v>
      </c>
      <c r="G36" s="23" t="s">
        <v>69</v>
      </c>
      <c r="H36" s="23" t="s">
        <v>68</v>
      </c>
      <c r="I36" s="23">
        <f>'MERCADO TE'!$U$33</f>
        <v>0</v>
      </c>
      <c r="J36" s="15"/>
      <c r="L36" s="20">
        <f>'TE BE'!$L$36*'TE BE'!$L$49</f>
        <v>0</v>
      </c>
      <c r="M36" s="20">
        <f>'TE BE'!$M$36*'TE BE'!$M$49</f>
        <v>0</v>
      </c>
      <c r="N36" s="20">
        <f>'TE BE'!$N$36*'TE BE'!$N$49</f>
        <v>0</v>
      </c>
      <c r="O36" s="20">
        <f>'TE BE'!$O$36*'TE BE'!$O$49</f>
        <v>0</v>
      </c>
      <c r="P36" s="20">
        <f>'TE BE'!$P$36*'TE BE'!$P$49</f>
        <v>0</v>
      </c>
      <c r="Q36" s="20">
        <f>SUM($L$36:$P$36)</f>
        <v>0</v>
      </c>
      <c r="R36" s="20">
        <f>'TE BE'!$R$36*'TE BE'!$R$49</f>
        <v>-5.7187199337280523</v>
      </c>
      <c r="S36" s="20">
        <f>SUM($R$36:$R$36)</f>
        <v>-5.7187199337280523</v>
      </c>
      <c r="T36" s="20">
        <f>'TE BE'!$T$36*'TE BE'!$T$49</f>
        <v>0</v>
      </c>
      <c r="U36" s="20">
        <f>'TE BE'!$U$36*'TE BE'!$U$49</f>
        <v>0</v>
      </c>
      <c r="V36" s="20">
        <f>'TE BE'!$V$36*'TE BE'!$V$49</f>
        <v>0</v>
      </c>
      <c r="W36" s="20">
        <f>SUM($T$36:$V$36)</f>
        <v>0</v>
      </c>
      <c r="X36" s="20">
        <f>'TE BE'!$AB$36*'TE BE'!$X$49</f>
        <v>0</v>
      </c>
      <c r="Y36" s="20">
        <f>SUM($X$36:$X$36)</f>
        <v>0</v>
      </c>
      <c r="Z36" s="20">
        <f>'TE BE'!$Z$36*'TE BE'!$Z$49</f>
        <v>0</v>
      </c>
      <c r="AA36" s="20">
        <f>SUM($Z$36:$Z$36)</f>
        <v>0</v>
      </c>
      <c r="AB36" s="20">
        <f>SUMIF($L$4:$AA$4,"SUBTOTAL",$L$36:$AA$36)</f>
        <v>-5.7187199337280523</v>
      </c>
    </row>
    <row r="37" spans="1:28" ht="11.25" customHeight="1" x14ac:dyDescent="0.3">
      <c r="A37" s="107"/>
      <c r="B37" s="107"/>
      <c r="C37" s="107"/>
      <c r="D37" s="107"/>
      <c r="E37" s="107"/>
      <c r="F37" s="107"/>
      <c r="G37" s="23" t="s">
        <v>82</v>
      </c>
      <c r="H37" s="23" t="s">
        <v>68</v>
      </c>
      <c r="I37" s="23">
        <f>'MERCADO TE'!$U$34</f>
        <v>0</v>
      </c>
      <c r="J37" s="15"/>
      <c r="L37" s="20">
        <f>'TE BE'!$L$37*'TE BE'!$L$49</f>
        <v>0</v>
      </c>
      <c r="M37" s="20">
        <f>'TE BE'!$M$37*'TE BE'!$M$49</f>
        <v>0</v>
      </c>
      <c r="N37" s="20">
        <f>'TE BE'!$N$37*'TE BE'!$N$49</f>
        <v>0</v>
      </c>
      <c r="O37" s="20">
        <f>'TE BE'!$O$37*'TE BE'!$O$49</f>
        <v>0</v>
      </c>
      <c r="P37" s="20">
        <f>'TE BE'!$P$37*'TE BE'!$P$49</f>
        <v>0</v>
      </c>
      <c r="Q37" s="20">
        <f>SUM($L$37:$P$37)</f>
        <v>0</v>
      </c>
      <c r="R37" s="20">
        <f>'TE BE'!$R$37*'TE BE'!$R$49</f>
        <v>-5.7187199337280523</v>
      </c>
      <c r="S37" s="20">
        <f>SUM($R$37:$R$37)</f>
        <v>-5.7187199337280523</v>
      </c>
      <c r="T37" s="20">
        <f>'TE BE'!$T$37*'TE BE'!$T$49</f>
        <v>0</v>
      </c>
      <c r="U37" s="20">
        <f>'TE BE'!$U$37*'TE BE'!$U$49</f>
        <v>0</v>
      </c>
      <c r="V37" s="20">
        <f>'TE BE'!$V$37*'TE BE'!$V$49</f>
        <v>0</v>
      </c>
      <c r="W37" s="20">
        <f>SUM($T$37:$V$37)</f>
        <v>0</v>
      </c>
      <c r="X37" s="20">
        <f>'TE BE'!$AB$37*'TE BE'!$X$49</f>
        <v>0</v>
      </c>
      <c r="Y37" s="20">
        <f>SUM($X$37:$X$37)</f>
        <v>0</v>
      </c>
      <c r="Z37" s="20">
        <f>'TE BE'!$Z$37*'TE BE'!$Z$49</f>
        <v>0</v>
      </c>
      <c r="AA37" s="20">
        <f>SUM($Z$37:$Z$37)</f>
        <v>0</v>
      </c>
      <c r="AB37" s="20">
        <f>SUMIF($L$4:$AA$4,"SUBTOTAL",$L$37:$AA$37)</f>
        <v>-5.7187199337280523</v>
      </c>
    </row>
    <row r="38" spans="1:28" ht="11.25" customHeight="1" x14ac:dyDescent="0.3">
      <c r="A38" s="107"/>
      <c r="B38" s="107"/>
      <c r="C38" s="107"/>
      <c r="D38" s="107"/>
      <c r="E38" s="107"/>
      <c r="F38" s="107"/>
      <c r="G38" s="23" t="s">
        <v>70</v>
      </c>
      <c r="H38" s="23" t="s">
        <v>68</v>
      </c>
      <c r="I38" s="23">
        <f>'MERCADO TE'!$U$35</f>
        <v>0</v>
      </c>
      <c r="J38" s="15"/>
      <c r="L38" s="20">
        <f>'TE BE'!$L$38*'TE BE'!$L$49</f>
        <v>0</v>
      </c>
      <c r="M38" s="20">
        <f>'TE BE'!$M$38*'TE BE'!$M$49</f>
        <v>0</v>
      </c>
      <c r="N38" s="20">
        <f>'TE BE'!$N$38*'TE BE'!$N$49</f>
        <v>0</v>
      </c>
      <c r="O38" s="20">
        <f>'TE BE'!$O$38*'TE BE'!$O$49</f>
        <v>0</v>
      </c>
      <c r="P38" s="20">
        <f>'TE BE'!$P$38*'TE BE'!$P$49</f>
        <v>0</v>
      </c>
      <c r="Q38" s="20">
        <f>SUM($L$38:$P$38)</f>
        <v>0</v>
      </c>
      <c r="R38" s="20">
        <f>'TE BE'!$R$38*'TE BE'!$R$49</f>
        <v>-5.7187199337280523</v>
      </c>
      <c r="S38" s="20">
        <f>SUM($R$38:$R$38)</f>
        <v>-5.7187199337280523</v>
      </c>
      <c r="T38" s="20">
        <f>'TE BE'!$T$38*'TE BE'!$T$49</f>
        <v>0</v>
      </c>
      <c r="U38" s="20">
        <f>'TE BE'!$U$38*'TE BE'!$U$49</f>
        <v>0</v>
      </c>
      <c r="V38" s="20">
        <f>'TE BE'!$V$38*'TE BE'!$V$49</f>
        <v>0</v>
      </c>
      <c r="W38" s="20">
        <f>SUM($T$38:$V$38)</f>
        <v>0</v>
      </c>
      <c r="X38" s="20">
        <f>'TE BE'!$AB$38*'TE BE'!$X$49</f>
        <v>0</v>
      </c>
      <c r="Y38" s="20">
        <f>SUM($X$38:$X$38)</f>
        <v>0</v>
      </c>
      <c r="Z38" s="20">
        <f>'TE BE'!$Z$38*'TE BE'!$Z$49</f>
        <v>0</v>
      </c>
      <c r="AA38" s="20">
        <f>SUM($Z$38:$Z$38)</f>
        <v>0</v>
      </c>
      <c r="AB38" s="20">
        <f>SUMIF($L$4:$AA$4,"SUBTOTAL",$L$38:$AA$38)</f>
        <v>-5.7187199337280523</v>
      </c>
    </row>
    <row r="39" spans="1:28" ht="11.25" customHeight="1" x14ac:dyDescent="0.3">
      <c r="A39" s="107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643.45600000000002</v>
      </c>
      <c r="J39" s="15"/>
      <c r="L39" s="20">
        <f>'TE BE'!$L$39*'TE BE'!$L$49</f>
        <v>0</v>
      </c>
      <c r="M39" s="20">
        <f>'TE BE'!$M$39*'TE BE'!$M$49</f>
        <v>0</v>
      </c>
      <c r="N39" s="20">
        <f>'TE BE'!$N$39*'TE BE'!$N$49</f>
        <v>0</v>
      </c>
      <c r="O39" s="20">
        <f>'TE BE'!$O$39*'TE BE'!$O$49</f>
        <v>0</v>
      </c>
      <c r="P39" s="20">
        <f>'TE BE'!$P$39*'TE BE'!$P$49</f>
        <v>0</v>
      </c>
      <c r="Q39" s="20">
        <f>SUM($L$39:$P$39)</f>
        <v>0</v>
      </c>
      <c r="R39" s="20">
        <f>'TE BE'!$R$39*'TE BE'!$R$49</f>
        <v>-5.7187199337280523</v>
      </c>
      <c r="S39" s="20">
        <f>SUM($R$39:$R$39)</f>
        <v>-5.7187199337280523</v>
      </c>
      <c r="T39" s="20">
        <f>'TE BE'!$T$39*'TE BE'!$T$49</f>
        <v>0</v>
      </c>
      <c r="U39" s="20">
        <f>'TE BE'!$U$39*'TE BE'!$U$49</f>
        <v>0</v>
      </c>
      <c r="V39" s="20">
        <f>'TE BE'!$V$39*'TE BE'!$V$49</f>
        <v>0</v>
      </c>
      <c r="W39" s="20">
        <f>SUM($T$39:$V$39)</f>
        <v>0</v>
      </c>
      <c r="X39" s="20">
        <f>'TE BE'!$AB$39*'TE BE'!$X$49</f>
        <v>0</v>
      </c>
      <c r="Y39" s="20">
        <f>SUM($X$39:$X$39)</f>
        <v>0</v>
      </c>
      <c r="Z39" s="20">
        <f>'TE BE'!$Z$39*'TE BE'!$Z$49</f>
        <v>0</v>
      </c>
      <c r="AA39" s="20">
        <f>SUM($Z$39:$Z$39)</f>
        <v>0</v>
      </c>
      <c r="AB39" s="20">
        <f>SUMIF($L$4:$AA$4,"SUBTOTAL",$L$39:$AA$39)</f>
        <v>-5.7187199337280523</v>
      </c>
    </row>
    <row r="40" spans="1:28" ht="11.25" customHeight="1" x14ac:dyDescent="0.3">
      <c r="A40" s="107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'TE BE'!$L$40*'TE BE'!$L$49</f>
        <v>0</v>
      </c>
      <c r="M40" s="20">
        <f>'TE BE'!$M$40*'TE BE'!$M$49</f>
        <v>0</v>
      </c>
      <c r="N40" s="20">
        <f>'TE BE'!$N$40*'TE BE'!$N$49</f>
        <v>0</v>
      </c>
      <c r="O40" s="20">
        <f>'TE BE'!$O$40*'TE BE'!$O$49</f>
        <v>0</v>
      </c>
      <c r="P40" s="20">
        <f>'TE BE'!$P$40*'TE BE'!$P$49</f>
        <v>0</v>
      </c>
      <c r="Q40" s="20">
        <f>SUM($L$40:$P$40)</f>
        <v>0</v>
      </c>
      <c r="R40" s="20">
        <f>'TE BE'!$R$40*'TE BE'!$R$49</f>
        <v>-5.7187199337280523</v>
      </c>
      <c r="S40" s="20">
        <f>SUM($R$40:$R$40)</f>
        <v>-5.7187199337280523</v>
      </c>
      <c r="T40" s="20">
        <f>'TE BE'!$T$40*'TE BE'!$T$49</f>
        <v>0</v>
      </c>
      <c r="U40" s="20">
        <f>'TE BE'!$U$40*'TE BE'!$U$49</f>
        <v>0</v>
      </c>
      <c r="V40" s="20">
        <f>'TE BE'!$V$40*'TE BE'!$V$49</f>
        <v>0</v>
      </c>
      <c r="W40" s="20">
        <f>SUM($T$40:$V$40)</f>
        <v>0</v>
      </c>
      <c r="X40" s="20">
        <f>'TE BE'!$AB$40*'TE BE'!$X$49</f>
        <v>0</v>
      </c>
      <c r="Y40" s="20">
        <f>SUM($X$40:$X$40)</f>
        <v>0</v>
      </c>
      <c r="Z40" s="20">
        <f>'TE BE'!$Z$40*'TE BE'!$Z$49</f>
        <v>0</v>
      </c>
      <c r="AA40" s="20">
        <f>SUM($Z$40:$Z$40)</f>
        <v>0</v>
      </c>
      <c r="AB40" s="20">
        <f>SUMIF($L$4:$AA$4,"SUBTOTAL",$L$40:$AA$40)</f>
        <v>-5.7187199337280523</v>
      </c>
    </row>
    <row r="41" spans="1:28" ht="11.25" customHeight="1" x14ac:dyDescent="0.3">
      <c r="A41" s="107" t="s">
        <v>44</v>
      </c>
      <c r="B41" s="107" t="s">
        <v>71</v>
      </c>
      <c r="C41" s="107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546.72599999999989</v>
      </c>
      <c r="J41" s="15"/>
      <c r="L41" s="20">
        <f>'TE BE'!$L$41*'TE BE'!$L$49</f>
        <v>0</v>
      </c>
      <c r="M41" s="20">
        <f>'TE BE'!$M$41*'TE BE'!$M$49</f>
        <v>0</v>
      </c>
      <c r="N41" s="20">
        <f>'TE BE'!$N$41*'TE BE'!$N$49</f>
        <v>0</v>
      </c>
      <c r="O41" s="20">
        <f>'TE BE'!$O$41*'TE BE'!$O$49</f>
        <v>0</v>
      </c>
      <c r="P41" s="20">
        <f>'TE BE'!$P$41*'TE BE'!$P$49</f>
        <v>0</v>
      </c>
      <c r="Q41" s="20">
        <f>SUM($L$41:$P$41)</f>
        <v>0</v>
      </c>
      <c r="R41" s="20">
        <f>'TE BE'!$R$41*'TE BE'!$R$49</f>
        <v>-3.1452959635504292</v>
      </c>
      <c r="S41" s="20">
        <f>SUM($R$41:$R$41)</f>
        <v>-3.1452959635504292</v>
      </c>
      <c r="T41" s="20">
        <f>'TE BE'!$T$41*'TE BE'!$T$49</f>
        <v>0</v>
      </c>
      <c r="U41" s="20">
        <f>'TE BE'!$U$41*'TE BE'!$U$49</f>
        <v>0</v>
      </c>
      <c r="V41" s="20">
        <f>'TE BE'!$V$41*'TE BE'!$V$49</f>
        <v>0</v>
      </c>
      <c r="W41" s="20">
        <f>SUM($T$41:$V$41)</f>
        <v>0</v>
      </c>
      <c r="X41" s="20">
        <f>'TE BE'!$AB$41*'TE BE'!$X$49</f>
        <v>0</v>
      </c>
      <c r="Y41" s="20">
        <f>SUM($X$41:$X$41)</f>
        <v>0</v>
      </c>
      <c r="Z41" s="20">
        <f>'TE BE'!$Z$41*'TE BE'!$Z$49</f>
        <v>0</v>
      </c>
      <c r="AA41" s="20">
        <f>SUM($Z$41:$Z$41)</f>
        <v>0</v>
      </c>
      <c r="AB41" s="20">
        <f>SUMIF($L$4:$AA$4,"SUBTOTAL",$L$41:$AA$41)</f>
        <v>-3.1452959635504292</v>
      </c>
    </row>
    <row r="42" spans="1:28" ht="11.25" customHeight="1" x14ac:dyDescent="0.3">
      <c r="A42" s="107"/>
      <c r="B42" s="107"/>
      <c r="C42" s="107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'TE BE'!$L$42*'TE BE'!$L$49</f>
        <v>0</v>
      </c>
      <c r="M42" s="20">
        <f>'TE BE'!$M$42*'TE BE'!$M$49</f>
        <v>0</v>
      </c>
      <c r="N42" s="20">
        <f>'TE BE'!$N$42*'TE BE'!$N$49</f>
        <v>0</v>
      </c>
      <c r="O42" s="20">
        <f>'TE BE'!$O$42*'TE BE'!$O$49</f>
        <v>0</v>
      </c>
      <c r="P42" s="20">
        <f>'TE BE'!$P$42*'TE BE'!$P$49</f>
        <v>0</v>
      </c>
      <c r="Q42" s="20">
        <f>SUM($L$42:$P$42)</f>
        <v>0</v>
      </c>
      <c r="R42" s="20">
        <f>'TE BE'!$R$42*'TE BE'!$R$49</f>
        <v>-3.4312319602368309</v>
      </c>
      <c r="S42" s="20">
        <f>SUM($R$42:$R$42)</f>
        <v>-3.4312319602368309</v>
      </c>
      <c r="T42" s="20">
        <f>'TE BE'!$T$42*'TE BE'!$T$49</f>
        <v>0</v>
      </c>
      <c r="U42" s="20">
        <f>'TE BE'!$U$42*'TE BE'!$U$49</f>
        <v>0</v>
      </c>
      <c r="V42" s="20">
        <f>'TE BE'!$V$42*'TE BE'!$V$49</f>
        <v>0</v>
      </c>
      <c r="W42" s="20">
        <f>SUM($T$42:$V$42)</f>
        <v>0</v>
      </c>
      <c r="X42" s="20">
        <f>'TE BE'!$AB$42*'TE BE'!$X$49</f>
        <v>0</v>
      </c>
      <c r="Y42" s="20">
        <f>SUM($X$42:$X$42)</f>
        <v>0</v>
      </c>
      <c r="Z42" s="20">
        <f>'TE BE'!$Z$42*'TE BE'!$Z$49</f>
        <v>0</v>
      </c>
      <c r="AA42" s="20">
        <f>SUM($Z$42:$Z$42)</f>
        <v>0</v>
      </c>
      <c r="AB42" s="20">
        <f>SUMIF($L$4:$AA$4,"SUBTOTAL",$L$42:$AA$42)</f>
        <v>-3.4312319602368309</v>
      </c>
    </row>
    <row r="44" spans="1:28" ht="11.25" customHeight="1" x14ac:dyDescent="0.3">
      <c r="K44" s="25" t="s">
        <v>518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-62078.650961011459</v>
      </c>
      <c r="S44" s="20">
        <f t="shared" si="0"/>
        <v>-62078.650961011459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-62078.650961011459</v>
      </c>
    </row>
    <row r="45" spans="1:28" ht="11.25" customHeight="1" x14ac:dyDescent="0.3">
      <c r="K45" s="25" t="s">
        <v>437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2984438.2373716203</v>
      </c>
      <c r="S45" s="20">
        <f>CUSTOS!$D$37</f>
        <v>2984438.2373716203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2984438.2373716203</v>
      </c>
    </row>
    <row r="46" spans="1:28" ht="11.25" customHeight="1" x14ac:dyDescent="0.3">
      <c r="K46" s="25" t="s">
        <v>438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-62078.650961011466</v>
      </c>
      <c r="S46" s="20">
        <f>CUSTOS!$E$37</f>
        <v>-62078.650961011466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-62078.650961011466</v>
      </c>
    </row>
    <row r="47" spans="1:28" ht="11.25" customHeight="1" x14ac:dyDescent="0.3">
      <c r="K47" s="25" t="s">
        <v>439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519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0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3">
      <c r="K49" s="25" t="s">
        <v>514</v>
      </c>
      <c r="L49" s="20">
        <f>IF(L45&lt;&gt;0,L47/L45,0)</f>
        <v>0</v>
      </c>
      <c r="M49" s="20">
        <f>IF(M45&lt;&gt;0,M47/M45,0)</f>
        <v>0</v>
      </c>
      <c r="N49" s="20">
        <f>IF(N45&lt;&gt;0,N47/N45,0)</f>
        <v>0</v>
      </c>
      <c r="O49" s="20">
        <f>IF(O45&lt;&gt;0,O47/O45,0)</f>
        <v>0</v>
      </c>
      <c r="P49" s="20">
        <f>IF(P45&lt;&gt;0,P47/P45,0)</f>
        <v>0</v>
      </c>
      <c r="Q49" s="20"/>
      <c r="R49" s="20">
        <f>IF(R45&lt;&gt;0,R47/R45,0)</f>
        <v>0</v>
      </c>
      <c r="S49" s="20"/>
      <c r="T49" s="20">
        <f>IF(T45&lt;&gt;0,T47/T45,0)</f>
        <v>0</v>
      </c>
      <c r="U49" s="20">
        <f>IF(U45&lt;&gt;0,U47/U45,0)</f>
        <v>0</v>
      </c>
      <c r="V49" s="20">
        <f>IF(V45&lt;&gt;0,V47/V45,0)</f>
        <v>0</v>
      </c>
      <c r="W49" s="20"/>
      <c r="X49" s="20">
        <f>IF($AB45&lt;&gt;0,X47/($AB45-SUM('TR TE'!$L48:'TR TE'!$AA48)*0),0)</f>
        <v>0</v>
      </c>
      <c r="Y49" s="20"/>
      <c r="Z49" s="20">
        <f>IF(Z45&lt;&gt;0,Z47/Z45,0)</f>
        <v>0</v>
      </c>
      <c r="AA49" s="20"/>
      <c r="AB49" s="20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614" priority="33" operator="notEqual">
      <formula>$L$46</formula>
    </cfRule>
    <cfRule type="cellIs" dxfId="613" priority="34" operator="equal">
      <formula>$L$46</formula>
    </cfRule>
  </conditionalFormatting>
  <conditionalFormatting sqref="M44">
    <cfRule type="cellIs" dxfId="612" priority="31" operator="notEqual">
      <formula>$M$46</formula>
    </cfRule>
    <cfRule type="cellIs" dxfId="611" priority="32" operator="equal">
      <formula>$M$46</formula>
    </cfRule>
  </conditionalFormatting>
  <conditionalFormatting sqref="N44">
    <cfRule type="cellIs" dxfId="610" priority="29" operator="notEqual">
      <formula>$N$46</formula>
    </cfRule>
    <cfRule type="cellIs" dxfId="609" priority="30" operator="equal">
      <formula>$N$46</formula>
    </cfRule>
  </conditionalFormatting>
  <conditionalFormatting sqref="O44">
    <cfRule type="cellIs" dxfId="608" priority="27" operator="notEqual">
      <formula>$O$46</formula>
    </cfRule>
    <cfRule type="cellIs" dxfId="607" priority="28" operator="equal">
      <formula>$O$46</formula>
    </cfRule>
  </conditionalFormatting>
  <conditionalFormatting sqref="P44">
    <cfRule type="cellIs" dxfId="606" priority="25" operator="notEqual">
      <formula>$P$46</formula>
    </cfRule>
    <cfRule type="cellIs" dxfId="605" priority="26" operator="equal">
      <formula>$P$46</formula>
    </cfRule>
  </conditionalFormatting>
  <conditionalFormatting sqref="Q44">
    <cfRule type="cellIs" dxfId="604" priority="23" operator="notEqual">
      <formula>$Q$46</formula>
    </cfRule>
    <cfRule type="cellIs" dxfId="603" priority="24" operator="equal">
      <formula>$Q$46</formula>
    </cfRule>
  </conditionalFormatting>
  <conditionalFormatting sqref="R44">
    <cfRule type="cellIs" dxfId="602" priority="21" operator="notEqual">
      <formula>$R$46</formula>
    </cfRule>
    <cfRule type="cellIs" dxfId="601" priority="22" operator="equal">
      <formula>$R$46</formula>
    </cfRule>
  </conditionalFormatting>
  <conditionalFormatting sqref="S44">
    <cfRule type="cellIs" dxfId="600" priority="19" operator="notEqual">
      <formula>$S$46</formula>
    </cfRule>
    <cfRule type="cellIs" dxfId="599" priority="20" operator="equal">
      <formula>$S$46</formula>
    </cfRule>
  </conditionalFormatting>
  <conditionalFormatting sqref="T44">
    <cfRule type="cellIs" dxfId="598" priority="17" operator="notEqual">
      <formula>$T$46</formula>
    </cfRule>
    <cfRule type="cellIs" dxfId="597" priority="18" operator="equal">
      <formula>$T$46</formula>
    </cfRule>
  </conditionalFormatting>
  <conditionalFormatting sqref="U44">
    <cfRule type="cellIs" dxfId="596" priority="15" operator="notEqual">
      <formula>$U$46</formula>
    </cfRule>
    <cfRule type="cellIs" dxfId="595" priority="16" operator="equal">
      <formula>$U$46</formula>
    </cfRule>
  </conditionalFormatting>
  <conditionalFormatting sqref="V44">
    <cfRule type="cellIs" dxfId="594" priority="13" operator="notEqual">
      <formula>$V$46</formula>
    </cfRule>
    <cfRule type="cellIs" dxfId="593" priority="14" operator="equal">
      <formula>$V$46</formula>
    </cfRule>
  </conditionalFormatting>
  <conditionalFormatting sqref="W44">
    <cfRule type="cellIs" dxfId="592" priority="11" operator="notEqual">
      <formula>$W$46</formula>
    </cfRule>
    <cfRule type="cellIs" dxfId="591" priority="12" operator="equal">
      <formula>$W$46</formula>
    </cfRule>
  </conditionalFormatting>
  <conditionalFormatting sqref="X44">
    <cfRule type="cellIs" dxfId="590" priority="9" operator="notEqual">
      <formula>$X$46</formula>
    </cfRule>
    <cfRule type="cellIs" dxfId="589" priority="10" operator="equal">
      <formula>$X$46</formula>
    </cfRule>
  </conditionalFormatting>
  <conditionalFormatting sqref="Y44">
    <cfRule type="cellIs" dxfId="588" priority="7" operator="notEqual">
      <formula>$Y$46</formula>
    </cfRule>
    <cfRule type="cellIs" dxfId="587" priority="8" operator="equal">
      <formula>$Y$46</formula>
    </cfRule>
  </conditionalFormatting>
  <conditionalFormatting sqref="Z44">
    <cfRule type="cellIs" dxfId="586" priority="5" operator="notEqual">
      <formula>$Z$46</formula>
    </cfRule>
    <cfRule type="cellIs" dxfId="585" priority="6" operator="equal">
      <formula>$Z$46</formula>
    </cfRule>
  </conditionalFormatting>
  <conditionalFormatting sqref="AA44">
    <cfRule type="cellIs" dxfId="584" priority="3" operator="notEqual">
      <formula>$AA$46</formula>
    </cfRule>
    <cfRule type="cellIs" dxfId="583" priority="4" operator="equal">
      <formula>$AA$46</formula>
    </cfRule>
  </conditionalFormatting>
  <conditionalFormatting sqref="AB44">
    <cfRule type="cellIs" dxfId="582" priority="1" operator="notEqual">
      <formula>$AB$46</formula>
    </cfRule>
    <cfRule type="cellIs" dxfId="58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AED4-CAD0-444F-A4A4-05B36383BD3C}">
  <dimension ref="A1:AB50"/>
  <sheetViews>
    <sheetView showGridLines="0" topLeftCell="G26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6.33203125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9" width="6.77734375" style="9" bestFit="1" customWidth="1"/>
    <col min="10" max="10" width="8.88671875" style="9"/>
    <col min="11" max="11" width="14.109375" style="9" bestFit="1" customWidth="1"/>
    <col min="12" max="14" width="7.6640625" style="9" bestFit="1" customWidth="1"/>
    <col min="15" max="15" width="10.77734375" style="9" bestFit="1" customWidth="1"/>
    <col min="16" max="16" width="7.88671875" style="9" bestFit="1" customWidth="1"/>
    <col min="17" max="17" width="9" style="9" bestFit="1" customWidth="1"/>
    <col min="18" max="18" width="14.5546875" style="9" bestFit="1" customWidth="1"/>
    <col min="19" max="19" width="9.6640625" style="9" bestFit="1" customWidth="1"/>
    <col min="20" max="20" width="7.6640625" style="9" bestFit="1" customWidth="1"/>
    <col min="21" max="21" width="10.109375" style="9" bestFit="1" customWidth="1"/>
    <col min="22" max="22" width="7.6640625" style="9" bestFit="1" customWidth="1"/>
    <col min="23" max="23" width="9" style="9" bestFit="1" customWidth="1"/>
    <col min="24" max="24" width="7.77734375" style="9" bestFit="1" customWidth="1"/>
    <col min="25" max="25" width="9" style="9" bestFit="1" customWidth="1"/>
    <col min="26" max="26" width="10.6640625" style="9" bestFit="1" customWidth="1"/>
    <col min="27" max="27" width="9" style="9" bestFit="1" customWidth="1"/>
    <col min="28" max="28" width="9.6640625" style="9" bestFit="1" customWidth="1"/>
    <col min="29" max="16384" width="8.88671875" style="9"/>
  </cols>
  <sheetData>
    <row r="1" spans="1:28" ht="11.25" customHeight="1" x14ac:dyDescent="0.3">
      <c r="A1" s="106" t="s">
        <v>58</v>
      </c>
      <c r="B1" s="106" t="s">
        <v>59</v>
      </c>
      <c r="C1" s="106" t="s">
        <v>60</v>
      </c>
      <c r="D1" s="106" t="s">
        <v>61</v>
      </c>
      <c r="E1" s="106" t="s">
        <v>62</v>
      </c>
      <c r="F1" s="106" t="s">
        <v>15</v>
      </c>
      <c r="G1" s="106" t="s">
        <v>64</v>
      </c>
      <c r="H1" s="106" t="s">
        <v>65</v>
      </c>
      <c r="I1" s="106" t="s">
        <v>496</v>
      </c>
      <c r="J1" s="94"/>
      <c r="L1" s="104" t="s">
        <v>524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94"/>
      <c r="L2" s="104" t="s">
        <v>423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6"/>
      <c r="B3" s="106"/>
      <c r="C3" s="106"/>
      <c r="D3" s="106"/>
      <c r="E3" s="106"/>
      <c r="F3" s="106"/>
      <c r="G3" s="106"/>
      <c r="H3" s="106"/>
      <c r="I3" s="106"/>
      <c r="J3" s="94"/>
      <c r="L3" s="104" t="s">
        <v>396</v>
      </c>
      <c r="M3" s="104"/>
      <c r="N3" s="104"/>
      <c r="O3" s="104"/>
      <c r="P3" s="104"/>
      <c r="Q3" s="104"/>
      <c r="R3" s="104" t="s">
        <v>427</v>
      </c>
      <c r="S3" s="104"/>
      <c r="T3" s="104" t="s">
        <v>405</v>
      </c>
      <c r="U3" s="104"/>
      <c r="V3" s="104"/>
      <c r="W3" s="104"/>
      <c r="X3" s="104" t="s">
        <v>415</v>
      </c>
      <c r="Y3" s="104"/>
      <c r="Z3" s="104" t="s">
        <v>418</v>
      </c>
      <c r="AA3" s="104"/>
      <c r="AB3" s="104" t="s">
        <v>404</v>
      </c>
    </row>
    <row r="4" spans="1:28" ht="11.25" customHeight="1" x14ac:dyDescent="0.3">
      <c r="A4" s="106"/>
      <c r="B4" s="106"/>
      <c r="C4" s="106"/>
      <c r="D4" s="106"/>
      <c r="E4" s="106"/>
      <c r="F4" s="106"/>
      <c r="G4" s="106"/>
      <c r="H4" s="106"/>
      <c r="I4" s="106"/>
      <c r="J4" s="94"/>
      <c r="L4" s="24" t="s">
        <v>398</v>
      </c>
      <c r="M4" s="24" t="s">
        <v>424</v>
      </c>
      <c r="N4" s="24" t="s">
        <v>425</v>
      </c>
      <c r="O4" s="24" t="s">
        <v>484</v>
      </c>
      <c r="P4" s="24" t="s">
        <v>426</v>
      </c>
      <c r="Q4" s="24" t="s">
        <v>404</v>
      </c>
      <c r="R4" s="24" t="s">
        <v>428</v>
      </c>
      <c r="S4" s="24" t="s">
        <v>404</v>
      </c>
      <c r="T4" s="24" t="s">
        <v>429</v>
      </c>
      <c r="U4" s="24" t="s">
        <v>430</v>
      </c>
      <c r="V4" s="24" t="s">
        <v>431</v>
      </c>
      <c r="W4" s="24" t="s">
        <v>404</v>
      </c>
      <c r="X4" s="24" t="s">
        <v>416</v>
      </c>
      <c r="Y4" s="24" t="s">
        <v>404</v>
      </c>
      <c r="Z4" s="24" t="s">
        <v>432</v>
      </c>
      <c r="AA4" s="24" t="s">
        <v>404</v>
      </c>
      <c r="AB4" s="105"/>
    </row>
    <row r="5" spans="1:28" ht="11.25" customHeight="1" x14ac:dyDescent="0.3">
      <c r="A5" s="107" t="s">
        <v>38</v>
      </c>
      <c r="B5" s="107" t="s">
        <v>67</v>
      </c>
      <c r="C5" s="107" t="s">
        <v>25</v>
      </c>
      <c r="D5" s="107" t="s">
        <v>25</v>
      </c>
      <c r="E5" s="107" t="s">
        <v>25</v>
      </c>
      <c r="F5" s="107" t="s">
        <v>25</v>
      </c>
      <c r="G5" s="23" t="s">
        <v>69</v>
      </c>
      <c r="H5" s="23" t="s">
        <v>68</v>
      </c>
      <c r="I5" s="23">
        <f>'MERCADO TE'!$U$2</f>
        <v>257.68899999999996</v>
      </c>
      <c r="J5" s="15"/>
      <c r="L5" s="20">
        <f>'TE BE'!$L$5*'TE BF'!$L$49</f>
        <v>0</v>
      </c>
      <c r="M5" s="20">
        <f>'TE BE'!$M$5*'TE BF'!$M$49</f>
        <v>0</v>
      </c>
      <c r="N5" s="20">
        <f>'TE BE'!$N$5*'TE BF'!$N$49</f>
        <v>0</v>
      </c>
      <c r="O5" s="20">
        <f>'TE BE'!$O$5*'TE BF'!$O$49</f>
        <v>0</v>
      </c>
      <c r="P5" s="20">
        <f>'TE BE'!$P$5*'TE BF'!$P$49</f>
        <v>0</v>
      </c>
      <c r="Q5" s="20">
        <f>SUM($L$5:$P$5)</f>
        <v>0</v>
      </c>
      <c r="R5" s="20">
        <f>'TE BE'!$R$5*'TE BF'!$R$49</f>
        <v>0</v>
      </c>
      <c r="S5" s="20">
        <f>SUM($R$5:$R$5)</f>
        <v>0</v>
      </c>
      <c r="T5" s="20">
        <f>'TE BE'!$T$5*'TE BF'!$T$49</f>
        <v>0</v>
      </c>
      <c r="U5" s="20">
        <f>'TE BE'!$U$5*'TE BF'!$U$49</f>
        <v>0</v>
      </c>
      <c r="V5" s="20">
        <f>'TE BE'!$V$5*'TE BF'!$V$49</f>
        <v>0</v>
      </c>
      <c r="W5" s="20">
        <f>SUM($T$5:$V$5)</f>
        <v>0</v>
      </c>
      <c r="X5" s="20">
        <f>'TE BE'!$AB$5*'TE BF'!$X$49</f>
        <v>0</v>
      </c>
      <c r="Y5" s="20">
        <f>SUM($X$5:$X$5)</f>
        <v>0</v>
      </c>
      <c r="Z5" s="20">
        <f>'TE BE'!$Z$5*'TE BF'!$Z$49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3">
      <c r="A6" s="107"/>
      <c r="B6" s="107"/>
      <c r="C6" s="107"/>
      <c r="D6" s="107"/>
      <c r="E6" s="107"/>
      <c r="F6" s="107"/>
      <c r="G6" s="23" t="s">
        <v>70</v>
      </c>
      <c r="H6" s="23" t="s">
        <v>68</v>
      </c>
      <c r="I6" s="23">
        <f>'MERCADO TE'!$U$3</f>
        <v>2720.0279999999998</v>
      </c>
      <c r="J6" s="15"/>
      <c r="L6" s="20">
        <f>'TE BE'!$L$6*'TE BF'!$L$49</f>
        <v>0</v>
      </c>
      <c r="M6" s="20">
        <f>'TE BE'!$M$6*'TE BF'!$M$49</f>
        <v>0</v>
      </c>
      <c r="N6" s="20">
        <f>'TE BE'!$N$6*'TE BF'!$N$49</f>
        <v>0</v>
      </c>
      <c r="O6" s="20">
        <f>'TE BE'!$O$6*'TE BF'!$O$49</f>
        <v>0</v>
      </c>
      <c r="P6" s="20">
        <f>'TE BE'!$P$6*'TE BF'!$P$49</f>
        <v>0</v>
      </c>
      <c r="Q6" s="20">
        <f>SUM($L$6:$P$6)</f>
        <v>0</v>
      </c>
      <c r="R6" s="20">
        <f>'TE BE'!$R$6*'TE BF'!$R$49</f>
        <v>0</v>
      </c>
      <c r="S6" s="20">
        <f>SUM($R$6:$R$6)</f>
        <v>0</v>
      </c>
      <c r="T6" s="20">
        <f>'TE BE'!$T$6*'TE BF'!$T$49</f>
        <v>0</v>
      </c>
      <c r="U6" s="20">
        <f>'TE BE'!$U$6*'TE BF'!$U$49</f>
        <v>0</v>
      </c>
      <c r="V6" s="20">
        <f>'TE BE'!$V$6*'TE BF'!$V$49</f>
        <v>0</v>
      </c>
      <c r="W6" s="20">
        <f>SUM($T$6:$V$6)</f>
        <v>0</v>
      </c>
      <c r="X6" s="20">
        <f>'TE BE'!$AB$6*'TE BF'!$X$49</f>
        <v>0</v>
      </c>
      <c r="Y6" s="20">
        <f>SUM($X$6:$X$6)</f>
        <v>0</v>
      </c>
      <c r="Z6" s="20">
        <f>'TE BE'!$Z$6*'TE BF'!$Z$49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3">
      <c r="A7" s="107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'TE BE'!$L$7*'TE BF'!$L$49</f>
        <v>0</v>
      </c>
      <c r="M7" s="20">
        <f>'TE BE'!$M$7*'TE BF'!$M$49</f>
        <v>0</v>
      </c>
      <c r="N7" s="20">
        <f>'TE BE'!$N$7*'TE BF'!$N$49</f>
        <v>0</v>
      </c>
      <c r="O7" s="20">
        <f>'TE BE'!$O$7*'TE BF'!$O$49</f>
        <v>0</v>
      </c>
      <c r="P7" s="20">
        <f>'TE BE'!$P$7*'TE BF'!$P$49</f>
        <v>0</v>
      </c>
      <c r="Q7" s="20">
        <f>SUM($L$7:$P$7)</f>
        <v>0</v>
      </c>
      <c r="R7" s="20">
        <f>'TE BE'!$R$7*'TE BF'!$R$49</f>
        <v>0</v>
      </c>
      <c r="S7" s="20">
        <f>SUM($R$7:$R$7)</f>
        <v>0</v>
      </c>
      <c r="T7" s="20">
        <f>'TE BE'!$T$7*'TE BF'!$T$49</f>
        <v>0</v>
      </c>
      <c r="U7" s="20">
        <f>'TE BE'!$U$7*'TE BF'!$U$49</f>
        <v>0</v>
      </c>
      <c r="V7" s="20">
        <f>'TE BE'!$V$7*'TE BF'!$V$49</f>
        <v>0</v>
      </c>
      <c r="W7" s="20">
        <f>SUM($T$7:$V$7)</f>
        <v>0</v>
      </c>
      <c r="X7" s="20">
        <f>'TE BE'!$AB$7*'TE BF'!$X$49</f>
        <v>0</v>
      </c>
      <c r="Y7" s="20">
        <f>SUM($X$7:$X$7)</f>
        <v>0</v>
      </c>
      <c r="Z7" s="20">
        <f>'TE BE'!$Z$7*'TE BF'!$Z$49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3">
      <c r="A8" s="107" t="s">
        <v>22</v>
      </c>
      <c r="B8" s="107" t="s">
        <v>67</v>
      </c>
      <c r="C8" s="107" t="s">
        <v>24</v>
      </c>
      <c r="D8" s="107" t="s">
        <v>24</v>
      </c>
      <c r="E8" s="107" t="s">
        <v>25</v>
      </c>
      <c r="F8" s="107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'TE BE'!$L$8*'TE BF'!$L$49</f>
        <v>0</v>
      </c>
      <c r="M8" s="20">
        <f>'TE BE'!$M$8*'TE BF'!$M$49</f>
        <v>0</v>
      </c>
      <c r="N8" s="20">
        <f>'TE BE'!$N$8*'TE BF'!$N$49</f>
        <v>0</v>
      </c>
      <c r="O8" s="20">
        <f>'TE BE'!$O$8*'TE BF'!$O$49</f>
        <v>0</v>
      </c>
      <c r="P8" s="20">
        <f>'TE BE'!$P$8*'TE BF'!$P$49</f>
        <v>0</v>
      </c>
      <c r="Q8" s="20">
        <f>SUM($L$8:$P$8)</f>
        <v>0</v>
      </c>
      <c r="R8" s="20">
        <f>'TE BE'!$R$8*'TE BF'!$R$49</f>
        <v>0</v>
      </c>
      <c r="S8" s="20">
        <f>SUM($R$8:$R$8)</f>
        <v>0</v>
      </c>
      <c r="T8" s="20">
        <f>'TE BE'!$T$8*'TE BF'!$T$49</f>
        <v>0</v>
      </c>
      <c r="U8" s="20">
        <f>'TE BE'!$U$8*'TE BF'!$U$49</f>
        <v>0</v>
      </c>
      <c r="V8" s="20">
        <f>'TE BE'!$V$8*'TE BF'!$V$49</f>
        <v>0</v>
      </c>
      <c r="W8" s="20">
        <f>SUM($T$8:$V$8)</f>
        <v>0</v>
      </c>
      <c r="X8" s="20">
        <f>'TE BE'!$AB$8*'TE BF'!$X$49</f>
        <v>0</v>
      </c>
      <c r="Y8" s="20">
        <f>SUM($X$8:$X$8)</f>
        <v>0</v>
      </c>
      <c r="Z8" s="20">
        <f>'TE BE'!$Z$8*'TE BF'!$Z$49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3">
      <c r="A9" s="107"/>
      <c r="B9" s="107"/>
      <c r="C9" s="107"/>
      <c r="D9" s="107"/>
      <c r="E9" s="107"/>
      <c r="F9" s="107"/>
      <c r="G9" s="23" t="s">
        <v>82</v>
      </c>
      <c r="H9" s="23" t="s">
        <v>68</v>
      </c>
      <c r="I9" s="23">
        <f>'MERCADO TE'!$U$6</f>
        <v>0.19500000000000003</v>
      </c>
      <c r="J9" s="15"/>
      <c r="L9" s="20">
        <f>'TE BE'!$L$9*'TE BF'!$L$49</f>
        <v>0</v>
      </c>
      <c r="M9" s="20">
        <f>'TE BE'!$M$9*'TE BF'!$M$49</f>
        <v>0</v>
      </c>
      <c r="N9" s="20">
        <f>'TE BE'!$N$9*'TE BF'!$N$49</f>
        <v>0</v>
      </c>
      <c r="O9" s="20">
        <f>'TE BE'!$O$9*'TE BF'!$O$49</f>
        <v>0</v>
      </c>
      <c r="P9" s="20">
        <f>'TE BE'!$P$9*'TE BF'!$P$49</f>
        <v>0</v>
      </c>
      <c r="Q9" s="20">
        <f>SUM($L$9:$P$9)</f>
        <v>0</v>
      </c>
      <c r="R9" s="20">
        <f>'TE BE'!$R$9*'TE BF'!$R$49</f>
        <v>0</v>
      </c>
      <c r="S9" s="20">
        <f>SUM($R$9:$R$9)</f>
        <v>0</v>
      </c>
      <c r="T9" s="20">
        <f>'TE BE'!$T$9*'TE BF'!$T$49</f>
        <v>0</v>
      </c>
      <c r="U9" s="20">
        <f>'TE BE'!$U$9*'TE BF'!$U$49</f>
        <v>0</v>
      </c>
      <c r="V9" s="20">
        <f>'TE BE'!$V$9*'TE BF'!$V$49</f>
        <v>0</v>
      </c>
      <c r="W9" s="20">
        <f>SUM($T$9:$V$9)</f>
        <v>0</v>
      </c>
      <c r="X9" s="20">
        <f>'TE BE'!$AB$9*'TE BF'!$X$49</f>
        <v>0</v>
      </c>
      <c r="Y9" s="20">
        <f>SUM($X$9:$X$9)</f>
        <v>0</v>
      </c>
      <c r="Z9" s="20">
        <f>'TE BE'!$Z$9*'TE BF'!$Z$49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3">
      <c r="A10" s="107"/>
      <c r="B10" s="107"/>
      <c r="C10" s="107"/>
      <c r="D10" s="107"/>
      <c r="E10" s="107"/>
      <c r="F10" s="107"/>
      <c r="G10" s="23" t="s">
        <v>70</v>
      </c>
      <c r="H10" s="23" t="s">
        <v>68</v>
      </c>
      <c r="I10" s="23">
        <f>'MERCADO TE'!$U$7</f>
        <v>0.51100000000000001</v>
      </c>
      <c r="J10" s="15"/>
      <c r="L10" s="20">
        <f>'TE BE'!$L$10*'TE BF'!$L$49</f>
        <v>0</v>
      </c>
      <c r="M10" s="20">
        <f>'TE BE'!$M$10*'TE BF'!$M$49</f>
        <v>0</v>
      </c>
      <c r="N10" s="20">
        <f>'TE BE'!$N$10*'TE BF'!$N$49</f>
        <v>0</v>
      </c>
      <c r="O10" s="20">
        <f>'TE BE'!$O$10*'TE BF'!$O$49</f>
        <v>0</v>
      </c>
      <c r="P10" s="20">
        <f>'TE BE'!$P$10*'TE BF'!$P$49</f>
        <v>0</v>
      </c>
      <c r="Q10" s="20">
        <f>SUM($L$10:$P$10)</f>
        <v>0</v>
      </c>
      <c r="R10" s="20">
        <f>'TE BE'!$R$10*'TE BF'!$R$49</f>
        <v>0</v>
      </c>
      <c r="S10" s="20">
        <f>SUM($R$10:$R$10)</f>
        <v>0</v>
      </c>
      <c r="T10" s="20">
        <f>'TE BE'!$T$10*'TE BF'!$T$49</f>
        <v>0</v>
      </c>
      <c r="U10" s="20">
        <f>'TE BE'!$U$10*'TE BF'!$U$49</f>
        <v>0</v>
      </c>
      <c r="V10" s="20">
        <f>'TE BE'!$V$10*'TE BF'!$V$49</f>
        <v>0</v>
      </c>
      <c r="W10" s="20">
        <f>SUM($T$10:$V$10)</f>
        <v>0</v>
      </c>
      <c r="X10" s="20">
        <f>'TE BE'!$AB$10*'TE BF'!$X$49</f>
        <v>0</v>
      </c>
      <c r="Y10" s="20">
        <f>SUM($X$10:$X$10)</f>
        <v>0</v>
      </c>
      <c r="Z10" s="20">
        <f>'TE BE'!$Z$10*'TE BF'!$Z$49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3">
      <c r="A11" s="107"/>
      <c r="B11" s="107" t="s">
        <v>71</v>
      </c>
      <c r="C11" s="107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5284.665</v>
      </c>
      <c r="J11" s="15"/>
      <c r="L11" s="20">
        <f>'TE BE'!$L$11*'TE BF'!$L$49</f>
        <v>0</v>
      </c>
      <c r="M11" s="20">
        <f>'TE BE'!$M$11*'TE BF'!$M$49</f>
        <v>0</v>
      </c>
      <c r="N11" s="20">
        <f>'TE BE'!$N$11*'TE BF'!$N$49</f>
        <v>0</v>
      </c>
      <c r="O11" s="20">
        <f>'TE BE'!$O$11*'TE BF'!$O$49</f>
        <v>0</v>
      </c>
      <c r="P11" s="20">
        <f>'TE BE'!$P$11*'TE BF'!$P$49</f>
        <v>0</v>
      </c>
      <c r="Q11" s="20">
        <f>SUM($L$11:$P$11)</f>
        <v>0</v>
      </c>
      <c r="R11" s="20">
        <f>'TE BE'!$R$11*'TE BF'!$R$49</f>
        <v>0</v>
      </c>
      <c r="S11" s="20">
        <f>SUM($R$11:$R$11)</f>
        <v>0</v>
      </c>
      <c r="T11" s="20">
        <f>'TE BE'!$T$11*'TE BF'!$T$49</f>
        <v>0</v>
      </c>
      <c r="U11" s="20">
        <f>'TE BE'!$U$11*'TE BF'!$U$49</f>
        <v>0</v>
      </c>
      <c r="V11" s="20">
        <f>'TE BE'!$V$11*'TE BF'!$V$49</f>
        <v>0</v>
      </c>
      <c r="W11" s="20">
        <f>SUM($T$11:$V$11)</f>
        <v>0</v>
      </c>
      <c r="X11" s="20">
        <f>'TE BE'!$AB$11*'TE BF'!$X$49</f>
        <v>0</v>
      </c>
      <c r="Y11" s="20">
        <f>SUM($X$11:$X$11)</f>
        <v>0</v>
      </c>
      <c r="Z11" s="20">
        <f>'TE BE'!$Z$11*'TE BF'!$Z$49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3">
      <c r="A12" s="107"/>
      <c r="B12" s="107"/>
      <c r="C12" s="107"/>
      <c r="D12" s="22" t="s">
        <v>29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53.816000000000003</v>
      </c>
      <c r="J12" s="15"/>
      <c r="L12" s="20">
        <f>'TE BE'!$L$12*'TE BF'!$L$49</f>
        <v>0</v>
      </c>
      <c r="M12" s="20">
        <f>'TE BE'!$M$12*'TE BF'!$M$49</f>
        <v>0</v>
      </c>
      <c r="N12" s="20">
        <f>'TE BE'!$N$12*'TE BF'!$N$49</f>
        <v>0</v>
      </c>
      <c r="O12" s="20">
        <f>'TE BE'!$O$12*'TE BF'!$O$49</f>
        <v>0</v>
      </c>
      <c r="P12" s="20">
        <f>'TE BE'!$P$12*'TE BF'!$P$49</f>
        <v>0</v>
      </c>
      <c r="Q12" s="20">
        <f>SUM($L$12:$P$12)</f>
        <v>0</v>
      </c>
      <c r="R12" s="20">
        <f>'TE BE'!$R$12*'TE BF'!$R$49</f>
        <v>0</v>
      </c>
      <c r="S12" s="20">
        <f>SUM($R$12:$R$12)</f>
        <v>0</v>
      </c>
      <c r="T12" s="20">
        <f>'TE BE'!$T$12*'TE BF'!$T$49</f>
        <v>0</v>
      </c>
      <c r="U12" s="20">
        <f>'TE BE'!$U$12*'TE BF'!$U$49</f>
        <v>0</v>
      </c>
      <c r="V12" s="20">
        <f>'TE BE'!$V$12*'TE BF'!$V$49</f>
        <v>0</v>
      </c>
      <c r="W12" s="20">
        <f>SUM($T$12:$V$12)</f>
        <v>0</v>
      </c>
      <c r="X12" s="20">
        <f>'TE BE'!$AB$12*'TE BF'!$X$49</f>
        <v>0</v>
      </c>
      <c r="Y12" s="20">
        <f>SUM($X$12:$X$12)</f>
        <v>0</v>
      </c>
      <c r="Z12" s="20">
        <f>'TE BE'!$Z$12*'TE BF'!$Z$49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3">
      <c r="A13" s="107"/>
      <c r="B13" s="107"/>
      <c r="C13" s="107"/>
      <c r="D13" s="22" t="s">
        <v>30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106.858</v>
      </c>
      <c r="J13" s="15"/>
      <c r="L13" s="20">
        <f>'TE BE'!$L$13*'TE BF'!$L$49</f>
        <v>0</v>
      </c>
      <c r="M13" s="20">
        <f>'TE BE'!$M$13*'TE BF'!$M$49</f>
        <v>0</v>
      </c>
      <c r="N13" s="20">
        <f>'TE BE'!$N$13*'TE BF'!$N$49</f>
        <v>0</v>
      </c>
      <c r="O13" s="20">
        <f>'TE BE'!$O$13*'TE BF'!$O$49</f>
        <v>0</v>
      </c>
      <c r="P13" s="20">
        <f>'TE BE'!$P$13*'TE BF'!$P$49</f>
        <v>0</v>
      </c>
      <c r="Q13" s="20">
        <f>SUM($L$13:$P$13)</f>
        <v>0</v>
      </c>
      <c r="R13" s="20">
        <f>'TE BE'!$R$13*'TE BF'!$R$49</f>
        <v>0</v>
      </c>
      <c r="S13" s="20">
        <f>SUM($R$13:$R$13)</f>
        <v>0</v>
      </c>
      <c r="T13" s="20">
        <f>'TE BE'!$T$13*'TE BF'!$T$49</f>
        <v>0</v>
      </c>
      <c r="U13" s="20">
        <f>'TE BE'!$U$13*'TE BF'!$U$49</f>
        <v>0</v>
      </c>
      <c r="V13" s="20">
        <f>'TE BE'!$V$13*'TE BF'!$V$49</f>
        <v>0</v>
      </c>
      <c r="W13" s="20">
        <f>SUM($T$13:$V$13)</f>
        <v>0</v>
      </c>
      <c r="X13" s="20">
        <f>'TE BE'!$AB$13*'TE BF'!$X$49</f>
        <v>0</v>
      </c>
      <c r="Y13" s="20">
        <f>SUM($X$13:$X$13)</f>
        <v>0</v>
      </c>
      <c r="Z13" s="20">
        <f>'TE BE'!$Z$13*'TE BF'!$Z$49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3">
      <c r="A14" s="107"/>
      <c r="B14" s="107"/>
      <c r="C14" s="107"/>
      <c r="D14" s="22" t="s">
        <v>31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84.406000000000006</v>
      </c>
      <c r="J14" s="15"/>
      <c r="L14" s="20">
        <f>'TE BE'!$L$14*'TE BF'!$L$49</f>
        <v>0</v>
      </c>
      <c r="M14" s="20">
        <f>'TE BE'!$M$14*'TE BF'!$M$49</f>
        <v>0</v>
      </c>
      <c r="N14" s="20">
        <f>'TE BE'!$N$14*'TE BF'!$N$49</f>
        <v>0</v>
      </c>
      <c r="O14" s="20">
        <f>'TE BE'!$O$14*'TE BF'!$O$49</f>
        <v>0</v>
      </c>
      <c r="P14" s="20">
        <f>'TE BE'!$P$14*'TE BF'!$P$49</f>
        <v>0</v>
      </c>
      <c r="Q14" s="20">
        <f>SUM($L$14:$P$14)</f>
        <v>0</v>
      </c>
      <c r="R14" s="20">
        <f>'TE BE'!$R$14*'TE BF'!$R$49</f>
        <v>0</v>
      </c>
      <c r="S14" s="20">
        <f>SUM($R$14:$R$14)</f>
        <v>0</v>
      </c>
      <c r="T14" s="20">
        <f>'TE BE'!$T$14*'TE BF'!$T$49</f>
        <v>0</v>
      </c>
      <c r="U14" s="20">
        <f>'TE BE'!$U$14*'TE BF'!$U$49</f>
        <v>0</v>
      </c>
      <c r="V14" s="20">
        <f>'TE BE'!$V$14*'TE BF'!$V$49</f>
        <v>0</v>
      </c>
      <c r="W14" s="20">
        <f>SUM($T$14:$V$14)</f>
        <v>0</v>
      </c>
      <c r="X14" s="20">
        <f>'TE BE'!$AB$14*'TE BF'!$X$49</f>
        <v>0</v>
      </c>
      <c r="Y14" s="20">
        <f>SUM($X$14:$X$14)</f>
        <v>0</v>
      </c>
      <c r="Z14" s="20">
        <f>'TE BE'!$Z$14*'TE BF'!$Z$49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3">
      <c r="A15" s="107"/>
      <c r="B15" s="107"/>
      <c r="C15" s="107"/>
      <c r="D15" s="22" t="s">
        <v>32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19.05</v>
      </c>
      <c r="J15" s="15"/>
      <c r="L15" s="20">
        <f>'TE BE'!$L$15*'TE BF'!$L$49</f>
        <v>0</v>
      </c>
      <c r="M15" s="20">
        <f>'TE BE'!$M$15*'TE BF'!$M$49</f>
        <v>0</v>
      </c>
      <c r="N15" s="20">
        <f>'TE BE'!$N$15*'TE BF'!$N$49</f>
        <v>0</v>
      </c>
      <c r="O15" s="20">
        <f>'TE BE'!$O$15*'TE BF'!$O$49</f>
        <v>0</v>
      </c>
      <c r="P15" s="20">
        <f>'TE BE'!$P$15*'TE BF'!$P$49</f>
        <v>0</v>
      </c>
      <c r="Q15" s="20">
        <f>SUM($L$15:$P$15)</f>
        <v>0</v>
      </c>
      <c r="R15" s="20">
        <f>'TE BE'!$R$15*'TE BF'!$R$49</f>
        <v>0</v>
      </c>
      <c r="S15" s="20">
        <f>SUM($R$15:$R$15)</f>
        <v>0</v>
      </c>
      <c r="T15" s="20">
        <f>'TE BE'!$T$15*'TE BF'!$T$49</f>
        <v>0</v>
      </c>
      <c r="U15" s="20">
        <f>'TE BE'!$U$15*'TE BF'!$U$49</f>
        <v>0</v>
      </c>
      <c r="V15" s="20">
        <f>'TE BE'!$V$15*'TE BF'!$V$49</f>
        <v>0</v>
      </c>
      <c r="W15" s="20">
        <f>SUM($T$15:$V$15)</f>
        <v>0</v>
      </c>
      <c r="X15" s="20">
        <f>'TE BE'!$AB$15*'TE BF'!$X$49</f>
        <v>0</v>
      </c>
      <c r="Y15" s="20">
        <f>SUM($X$15:$X$15)</f>
        <v>0</v>
      </c>
      <c r="Z15" s="20">
        <f>'TE BE'!$Z$15*'TE BF'!$Z$49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3">
      <c r="A16" s="107"/>
      <c r="B16" s="107" t="s">
        <v>83</v>
      </c>
      <c r="C16" s="107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'TE BE'!$L$16*'TE BF'!$L$49</f>
        <v>0</v>
      </c>
      <c r="M16" s="20">
        <f>'TE BE'!$M$16*'TE BF'!$M$49</f>
        <v>0</v>
      </c>
      <c r="N16" s="20">
        <f>'TE BE'!$N$16*'TE BF'!$N$49</f>
        <v>0</v>
      </c>
      <c r="O16" s="20">
        <f>'TE BE'!$O$16*'TE BF'!$O$49</f>
        <v>0</v>
      </c>
      <c r="P16" s="20">
        <f>'TE BE'!$P$16*'TE BF'!$P$49</f>
        <v>0</v>
      </c>
      <c r="Q16" s="20">
        <f>SUM($L$16:$P$16)</f>
        <v>0</v>
      </c>
      <c r="R16" s="20">
        <f>'TE BE'!$R$16*'TE BF'!$R$49</f>
        <v>0</v>
      </c>
      <c r="S16" s="20">
        <f>SUM($R$16:$R$16)</f>
        <v>0</v>
      </c>
      <c r="T16" s="20">
        <f>'TE BE'!$T$16*'TE BF'!$T$49</f>
        <v>0</v>
      </c>
      <c r="U16" s="20">
        <f>'TE BE'!$U$16*'TE BF'!$U$49</f>
        <v>0</v>
      </c>
      <c r="V16" s="20">
        <f>'TE BE'!$V$16*'TE BF'!$V$49</f>
        <v>0</v>
      </c>
      <c r="W16" s="20">
        <f>SUM($T$16:$V$16)</f>
        <v>0</v>
      </c>
      <c r="X16" s="20">
        <f>'TE BE'!$AB$16*'TE BF'!$X$49</f>
        <v>0</v>
      </c>
      <c r="Y16" s="20">
        <f>SUM($X$16:$X$16)</f>
        <v>0</v>
      </c>
      <c r="Z16" s="20">
        <f>'TE BE'!$Z$16*'TE BF'!$Z$49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3">
      <c r="A17" s="107"/>
      <c r="B17" s="107"/>
      <c r="C17" s="107"/>
      <c r="D17" s="22" t="s">
        <v>29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'TE BE'!$L$17*'TE BF'!$L$49</f>
        <v>0</v>
      </c>
      <c r="M17" s="20">
        <f>'TE BE'!$M$17*'TE BF'!$M$49</f>
        <v>0</v>
      </c>
      <c r="N17" s="20">
        <f>'TE BE'!$N$17*'TE BF'!$N$49</f>
        <v>0</v>
      </c>
      <c r="O17" s="20">
        <f>'TE BE'!$O$17*'TE BF'!$O$49</f>
        <v>0</v>
      </c>
      <c r="P17" s="20">
        <f>'TE BE'!$P$17*'TE BF'!$P$49</f>
        <v>0</v>
      </c>
      <c r="Q17" s="20">
        <f>SUM($L$17:$P$17)</f>
        <v>0</v>
      </c>
      <c r="R17" s="20">
        <f>'TE BE'!$R$17*'TE BF'!$R$49</f>
        <v>0</v>
      </c>
      <c r="S17" s="20">
        <f>SUM($R$17:$R$17)</f>
        <v>0</v>
      </c>
      <c r="T17" s="20">
        <f>'TE BE'!$T$17*'TE BF'!$T$49</f>
        <v>0</v>
      </c>
      <c r="U17" s="20">
        <f>'TE BE'!$U$17*'TE BF'!$U$49</f>
        <v>0</v>
      </c>
      <c r="V17" s="20">
        <f>'TE BE'!$V$17*'TE BF'!$V$49</f>
        <v>0</v>
      </c>
      <c r="W17" s="20">
        <f>SUM($T$17:$V$17)</f>
        <v>0</v>
      </c>
      <c r="X17" s="20">
        <f>'TE BE'!$AB$17*'TE BF'!$X$49</f>
        <v>0</v>
      </c>
      <c r="Y17" s="20">
        <f>SUM($X$17:$X$17)</f>
        <v>0</v>
      </c>
      <c r="Z17" s="20">
        <f>'TE BE'!$Z$17*'TE BF'!$Z$49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3">
      <c r="A18" s="107"/>
      <c r="B18" s="107"/>
      <c r="C18" s="107"/>
      <c r="D18" s="22" t="s">
        <v>30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'TE BE'!$L$18*'TE BF'!$L$49</f>
        <v>0</v>
      </c>
      <c r="M18" s="20">
        <f>'TE BE'!$M$18*'TE BF'!$M$49</f>
        <v>0</v>
      </c>
      <c r="N18" s="20">
        <f>'TE BE'!$N$18*'TE BF'!$N$49</f>
        <v>0</v>
      </c>
      <c r="O18" s="20">
        <f>'TE BE'!$O$18*'TE BF'!$O$49</f>
        <v>0</v>
      </c>
      <c r="P18" s="20">
        <f>'TE BE'!$P$18*'TE BF'!$P$49</f>
        <v>0</v>
      </c>
      <c r="Q18" s="20">
        <f>SUM($L$18:$P$18)</f>
        <v>0</v>
      </c>
      <c r="R18" s="20">
        <f>'TE BE'!$R$18*'TE BF'!$R$49</f>
        <v>0</v>
      </c>
      <c r="S18" s="20">
        <f>SUM($R$18:$R$18)</f>
        <v>0</v>
      </c>
      <c r="T18" s="20">
        <f>'TE BE'!$T$18*'TE BF'!$T$49</f>
        <v>0</v>
      </c>
      <c r="U18" s="20">
        <f>'TE BE'!$U$18*'TE BF'!$U$49</f>
        <v>0</v>
      </c>
      <c r="V18" s="20">
        <f>'TE BE'!$V$18*'TE BF'!$V$49</f>
        <v>0</v>
      </c>
      <c r="W18" s="20">
        <f>SUM($T$18:$V$18)</f>
        <v>0</v>
      </c>
      <c r="X18" s="20">
        <f>'TE BE'!$AB$18*'TE BF'!$X$49</f>
        <v>0</v>
      </c>
      <c r="Y18" s="20">
        <f>SUM($X$18:$X$18)</f>
        <v>0</v>
      </c>
      <c r="Z18" s="20">
        <f>'TE BE'!$Z$18*'TE BF'!$Z$49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3">
      <c r="A19" s="107"/>
      <c r="B19" s="107"/>
      <c r="C19" s="107"/>
      <c r="D19" s="22" t="s">
        <v>31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'TE BE'!$L$19*'TE BF'!$L$49</f>
        <v>0</v>
      </c>
      <c r="M19" s="20">
        <f>'TE BE'!$M$19*'TE BF'!$M$49</f>
        <v>0</v>
      </c>
      <c r="N19" s="20">
        <f>'TE BE'!$N$19*'TE BF'!$N$49</f>
        <v>0</v>
      </c>
      <c r="O19" s="20">
        <f>'TE BE'!$O$19*'TE BF'!$O$49</f>
        <v>0</v>
      </c>
      <c r="P19" s="20">
        <f>'TE BE'!$P$19*'TE BF'!$P$49</f>
        <v>0</v>
      </c>
      <c r="Q19" s="20">
        <f>SUM($L$19:$P$19)</f>
        <v>0</v>
      </c>
      <c r="R19" s="20">
        <f>'TE BE'!$R$19*'TE BF'!$R$49</f>
        <v>0</v>
      </c>
      <c r="S19" s="20">
        <f>SUM($R$19:$R$19)</f>
        <v>0</v>
      </c>
      <c r="T19" s="20">
        <f>'TE BE'!$T$19*'TE BF'!$T$49</f>
        <v>0</v>
      </c>
      <c r="U19" s="20">
        <f>'TE BE'!$U$19*'TE BF'!$U$49</f>
        <v>0</v>
      </c>
      <c r="V19" s="20">
        <f>'TE BE'!$V$19*'TE BF'!$V$49</f>
        <v>0</v>
      </c>
      <c r="W19" s="20">
        <f>SUM($T$19:$V$19)</f>
        <v>0</v>
      </c>
      <c r="X19" s="20">
        <f>'TE BE'!$AB$19*'TE BF'!$X$49</f>
        <v>0</v>
      </c>
      <c r="Y19" s="20">
        <f>SUM($X$19:$X$19)</f>
        <v>0</v>
      </c>
      <c r="Z19" s="20">
        <f>'TE BE'!$Z$19*'TE BF'!$Z$49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3">
      <c r="A20" s="107"/>
      <c r="B20" s="107"/>
      <c r="C20" s="107"/>
      <c r="D20" s="22" t="s">
        <v>32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'TE BE'!$L$20*'TE BF'!$L$49</f>
        <v>0</v>
      </c>
      <c r="M20" s="20">
        <f>'TE BE'!$M$20*'TE BF'!$M$49</f>
        <v>0</v>
      </c>
      <c r="N20" s="20">
        <f>'TE BE'!$N$20*'TE BF'!$N$49</f>
        <v>0</v>
      </c>
      <c r="O20" s="20">
        <f>'TE BE'!$O$20*'TE BF'!$O$49</f>
        <v>0</v>
      </c>
      <c r="P20" s="20">
        <f>'TE BE'!$P$20*'TE BF'!$P$49</f>
        <v>0</v>
      </c>
      <c r="Q20" s="20">
        <f>SUM($L$20:$P$20)</f>
        <v>0</v>
      </c>
      <c r="R20" s="20">
        <f>'TE BE'!$R$20*'TE BF'!$R$49</f>
        <v>0</v>
      </c>
      <c r="S20" s="20">
        <f>SUM($R$20:$R$20)</f>
        <v>0</v>
      </c>
      <c r="T20" s="20">
        <f>'TE BE'!$T$20*'TE BF'!$T$49</f>
        <v>0</v>
      </c>
      <c r="U20" s="20">
        <f>'TE BE'!$U$20*'TE BF'!$U$49</f>
        <v>0</v>
      </c>
      <c r="V20" s="20">
        <f>'TE BE'!$V$20*'TE BF'!$V$49</f>
        <v>0</v>
      </c>
      <c r="W20" s="20">
        <f>SUM($T$20:$V$20)</f>
        <v>0</v>
      </c>
      <c r="X20" s="20">
        <f>'TE BE'!$AB$20*'TE BF'!$X$49</f>
        <v>0</v>
      </c>
      <c r="Y20" s="20">
        <f>SUM($X$20:$X$20)</f>
        <v>0</v>
      </c>
      <c r="Z20" s="20">
        <f>'TE BE'!$Z$20*'TE BF'!$Z$49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3">
      <c r="A21" s="107" t="s">
        <v>41</v>
      </c>
      <c r="B21" s="107" t="s">
        <v>67</v>
      </c>
      <c r="C21" s="107" t="s">
        <v>42</v>
      </c>
      <c r="D21" s="107" t="s">
        <v>25</v>
      </c>
      <c r="E21" s="107" t="s">
        <v>25</v>
      </c>
      <c r="F21" s="107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'TE BE'!$L$21*'TE BF'!$L$49</f>
        <v>0</v>
      </c>
      <c r="M21" s="20">
        <f>'TE BE'!$M$21*'TE BF'!$M$49</f>
        <v>0</v>
      </c>
      <c r="N21" s="20">
        <f>'TE BE'!$N$21*'TE BF'!$N$49</f>
        <v>0</v>
      </c>
      <c r="O21" s="20">
        <f>'TE BE'!$O$21*'TE BF'!$O$49</f>
        <v>0</v>
      </c>
      <c r="P21" s="20">
        <f>'TE BE'!$P$21*'TE BF'!$P$49</f>
        <v>0</v>
      </c>
      <c r="Q21" s="20">
        <f>SUM($L$21:$P$21)</f>
        <v>0</v>
      </c>
      <c r="R21" s="20">
        <f>'TE BE'!$R$21*'TE BF'!$R$49</f>
        <v>0</v>
      </c>
      <c r="S21" s="20">
        <f>SUM($R$21:$R$21)</f>
        <v>0</v>
      </c>
      <c r="T21" s="20">
        <f>'TE BE'!$T$21*'TE BF'!$T$49</f>
        <v>0</v>
      </c>
      <c r="U21" s="20">
        <f>'TE BE'!$U$21*'TE BF'!$U$49</f>
        <v>0</v>
      </c>
      <c r="V21" s="20">
        <f>'TE BE'!$V$21*'TE BF'!$V$49</f>
        <v>0</v>
      </c>
      <c r="W21" s="20">
        <f>SUM($T$21:$V$21)</f>
        <v>0</v>
      </c>
      <c r="X21" s="20">
        <f>'TE BE'!$AB$21*'TE BF'!$X$49</f>
        <v>0</v>
      </c>
      <c r="Y21" s="20">
        <f>SUM($X$21:$X$21)</f>
        <v>0</v>
      </c>
      <c r="Z21" s="20">
        <f>'TE BE'!$Z$21*'TE BF'!$Z$49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3">
      <c r="A22" s="107"/>
      <c r="B22" s="107"/>
      <c r="C22" s="107"/>
      <c r="D22" s="107"/>
      <c r="E22" s="107"/>
      <c r="F22" s="107"/>
      <c r="G22" s="23" t="s">
        <v>82</v>
      </c>
      <c r="H22" s="23" t="s">
        <v>68</v>
      </c>
      <c r="I22" s="23">
        <f>'MERCADO TE'!$U$19</f>
        <v>0</v>
      </c>
      <c r="J22" s="15"/>
      <c r="L22" s="20">
        <f>'TE BE'!$L$22*'TE BF'!$L$49</f>
        <v>0</v>
      </c>
      <c r="M22" s="20">
        <f>'TE BE'!$M$22*'TE BF'!$M$49</f>
        <v>0</v>
      </c>
      <c r="N22" s="20">
        <f>'TE BE'!$N$22*'TE BF'!$N$49</f>
        <v>0</v>
      </c>
      <c r="O22" s="20">
        <f>'TE BE'!$O$22*'TE BF'!$O$49</f>
        <v>0</v>
      </c>
      <c r="P22" s="20">
        <f>'TE BE'!$P$22*'TE BF'!$P$49</f>
        <v>0</v>
      </c>
      <c r="Q22" s="20">
        <f>SUM($L$22:$P$22)</f>
        <v>0</v>
      </c>
      <c r="R22" s="20">
        <f>'TE BE'!$R$22*'TE BF'!$R$49</f>
        <v>0</v>
      </c>
      <c r="S22" s="20">
        <f>SUM($R$22:$R$22)</f>
        <v>0</v>
      </c>
      <c r="T22" s="20">
        <f>'TE BE'!$T$22*'TE BF'!$T$49</f>
        <v>0</v>
      </c>
      <c r="U22" s="20">
        <f>'TE BE'!$U$22*'TE BF'!$U$49</f>
        <v>0</v>
      </c>
      <c r="V22" s="20">
        <f>'TE BE'!$V$22*'TE BF'!$V$49</f>
        <v>0</v>
      </c>
      <c r="W22" s="20">
        <f>SUM($T$22:$V$22)</f>
        <v>0</v>
      </c>
      <c r="X22" s="20">
        <f>'TE BE'!$AB$22*'TE BF'!$X$49</f>
        <v>0</v>
      </c>
      <c r="Y22" s="20">
        <f>SUM($X$22:$X$22)</f>
        <v>0</v>
      </c>
      <c r="Z22" s="20">
        <f>'TE BE'!$Z$22*'TE BF'!$Z$49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3">
      <c r="A23" s="107"/>
      <c r="B23" s="107"/>
      <c r="C23" s="107"/>
      <c r="D23" s="107"/>
      <c r="E23" s="107"/>
      <c r="F23" s="107"/>
      <c r="G23" s="23" t="s">
        <v>70</v>
      </c>
      <c r="H23" s="23" t="s">
        <v>68</v>
      </c>
      <c r="I23" s="23">
        <f>'MERCADO TE'!$U$20</f>
        <v>0</v>
      </c>
      <c r="J23" s="15"/>
      <c r="L23" s="20">
        <f>'TE BE'!$L$23*'TE BF'!$L$49</f>
        <v>0</v>
      </c>
      <c r="M23" s="20">
        <f>'TE BE'!$M$23*'TE BF'!$M$49</f>
        <v>0</v>
      </c>
      <c r="N23" s="20">
        <f>'TE BE'!$N$23*'TE BF'!$N$49</f>
        <v>0</v>
      </c>
      <c r="O23" s="20">
        <f>'TE BE'!$O$23*'TE BF'!$O$49</f>
        <v>0</v>
      </c>
      <c r="P23" s="20">
        <f>'TE BE'!$P$23*'TE BF'!$P$49</f>
        <v>0</v>
      </c>
      <c r="Q23" s="20">
        <f>SUM($L$23:$P$23)</f>
        <v>0</v>
      </c>
      <c r="R23" s="20">
        <f>'TE BE'!$R$23*'TE BF'!$R$49</f>
        <v>0</v>
      </c>
      <c r="S23" s="20">
        <f>SUM($R$23:$R$23)</f>
        <v>0</v>
      </c>
      <c r="T23" s="20">
        <f>'TE BE'!$T$23*'TE BF'!$T$49</f>
        <v>0</v>
      </c>
      <c r="U23" s="20">
        <f>'TE BE'!$U$23*'TE BF'!$U$49</f>
        <v>0</v>
      </c>
      <c r="V23" s="20">
        <f>'TE BE'!$V$23*'TE BF'!$V$49</f>
        <v>0</v>
      </c>
      <c r="W23" s="20">
        <f>SUM($T$23:$V$23)</f>
        <v>0</v>
      </c>
      <c r="X23" s="20">
        <f>'TE BE'!$AB$23*'TE BF'!$X$49</f>
        <v>0</v>
      </c>
      <c r="Y23" s="20">
        <f>SUM($X$23:$X$23)</f>
        <v>0</v>
      </c>
      <c r="Z23" s="20">
        <f>'TE BE'!$Z$23*'TE BF'!$Z$49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3">
      <c r="A24" s="107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1383.9670000000001</v>
      </c>
      <c r="J24" s="15"/>
      <c r="L24" s="20">
        <f>'TE BE'!$L$24*'TE BF'!$L$49</f>
        <v>0</v>
      </c>
      <c r="M24" s="20">
        <f>'TE BE'!$M$24*'TE BF'!$M$49</f>
        <v>0</v>
      </c>
      <c r="N24" s="20">
        <f>'TE BE'!$N$24*'TE BF'!$N$49</f>
        <v>0</v>
      </c>
      <c r="O24" s="20">
        <f>'TE BE'!$O$24*'TE BF'!$O$49</f>
        <v>0</v>
      </c>
      <c r="P24" s="20">
        <f>'TE BE'!$P$24*'TE BF'!$P$49</f>
        <v>0</v>
      </c>
      <c r="Q24" s="20">
        <f>SUM($L$24:$P$24)</f>
        <v>0</v>
      </c>
      <c r="R24" s="20">
        <f>'TE BE'!$R$24*'TE BF'!$R$49</f>
        <v>0</v>
      </c>
      <c r="S24" s="20">
        <f>SUM($R$24:$R$24)</f>
        <v>0</v>
      </c>
      <c r="T24" s="20">
        <f>'TE BE'!$T$24*'TE BF'!$T$49</f>
        <v>0</v>
      </c>
      <c r="U24" s="20">
        <f>'TE BE'!$U$24*'TE BF'!$U$49</f>
        <v>0</v>
      </c>
      <c r="V24" s="20">
        <f>'TE BE'!$V$24*'TE BF'!$V$49</f>
        <v>0</v>
      </c>
      <c r="W24" s="20">
        <f>SUM($T$24:$V$24)</f>
        <v>0</v>
      </c>
      <c r="X24" s="20">
        <f>'TE BE'!$AB$24*'TE BF'!$X$49</f>
        <v>0</v>
      </c>
      <c r="Y24" s="20">
        <f>SUM($X$24:$X$24)</f>
        <v>0</v>
      </c>
      <c r="Z24" s="20">
        <f>'TE BE'!$Z$24*'TE BF'!$Z$49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3">
      <c r="A25" s="107"/>
      <c r="B25" s="107" t="s">
        <v>67</v>
      </c>
      <c r="C25" s="107" t="s">
        <v>42</v>
      </c>
      <c r="D25" s="107" t="s">
        <v>85</v>
      </c>
      <c r="E25" s="107" t="s">
        <v>25</v>
      </c>
      <c r="F25" s="107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'TE BE'!$L$25*'TE BF'!$L$49</f>
        <v>0</v>
      </c>
      <c r="M25" s="20">
        <f>'TE BE'!$M$25*'TE BF'!$M$49</f>
        <v>0</v>
      </c>
      <c r="N25" s="20">
        <f>'TE BE'!$N$25*'TE BF'!$N$49</f>
        <v>0</v>
      </c>
      <c r="O25" s="20">
        <f>'TE BE'!$O$25*'TE BF'!$O$49</f>
        <v>0</v>
      </c>
      <c r="P25" s="20">
        <f>'TE BE'!$P$25*'TE BF'!$P$49</f>
        <v>0</v>
      </c>
      <c r="Q25" s="20">
        <f>SUM($L$25:$P$25)</f>
        <v>0</v>
      </c>
      <c r="R25" s="20">
        <f>'TE BE'!$R$25*'TE BF'!$R$49</f>
        <v>0</v>
      </c>
      <c r="S25" s="20">
        <f>SUM($R$25:$R$25)</f>
        <v>0</v>
      </c>
      <c r="T25" s="20">
        <f>'TE BE'!$T$25*'TE BF'!$T$49</f>
        <v>0</v>
      </c>
      <c r="U25" s="20">
        <f>'TE BE'!$U$25*'TE BF'!$U$49</f>
        <v>0</v>
      </c>
      <c r="V25" s="20">
        <f>'TE BE'!$V$25*'TE BF'!$V$49</f>
        <v>0</v>
      </c>
      <c r="W25" s="20">
        <f>SUM($T$25:$V$25)</f>
        <v>0</v>
      </c>
      <c r="X25" s="20">
        <f>'TE BE'!$AB$25*'TE BF'!$X$49</f>
        <v>0</v>
      </c>
      <c r="Y25" s="20">
        <f>SUM($X$25:$X$25)</f>
        <v>0</v>
      </c>
      <c r="Z25" s="20">
        <f>'TE BE'!$Z$25*'TE BF'!$Z$49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3">
      <c r="A26" s="107"/>
      <c r="B26" s="107"/>
      <c r="C26" s="107"/>
      <c r="D26" s="107"/>
      <c r="E26" s="107"/>
      <c r="F26" s="107"/>
      <c r="G26" s="23" t="s">
        <v>82</v>
      </c>
      <c r="H26" s="23" t="s">
        <v>68</v>
      </c>
      <c r="I26" s="23">
        <f>'MERCADO TE'!$U$23</f>
        <v>0</v>
      </c>
      <c r="J26" s="15"/>
      <c r="L26" s="20">
        <f>'TE BE'!$L$26*'TE BF'!$L$49</f>
        <v>0</v>
      </c>
      <c r="M26" s="20">
        <f>'TE BE'!$M$26*'TE BF'!$M$49</f>
        <v>0</v>
      </c>
      <c r="N26" s="20">
        <f>'TE BE'!$N$26*'TE BF'!$N$49</f>
        <v>0</v>
      </c>
      <c r="O26" s="20">
        <f>'TE BE'!$O$26*'TE BF'!$O$49</f>
        <v>0</v>
      </c>
      <c r="P26" s="20">
        <f>'TE BE'!$P$26*'TE BF'!$P$49</f>
        <v>0</v>
      </c>
      <c r="Q26" s="20">
        <f>SUM($L$26:$P$26)</f>
        <v>0</v>
      </c>
      <c r="R26" s="20">
        <f>'TE BE'!$R$26*'TE BF'!$R$49</f>
        <v>0</v>
      </c>
      <c r="S26" s="20">
        <f>SUM($R$26:$R$26)</f>
        <v>0</v>
      </c>
      <c r="T26" s="20">
        <f>'TE BE'!$T$26*'TE BF'!$T$49</f>
        <v>0</v>
      </c>
      <c r="U26" s="20">
        <f>'TE BE'!$U$26*'TE BF'!$U$49</f>
        <v>0</v>
      </c>
      <c r="V26" s="20">
        <f>'TE BE'!$V$26*'TE BF'!$V$49</f>
        <v>0</v>
      </c>
      <c r="W26" s="20">
        <f>SUM($T$26:$V$26)</f>
        <v>0</v>
      </c>
      <c r="X26" s="20">
        <f>'TE BE'!$AB$26*'TE BF'!$X$49</f>
        <v>0</v>
      </c>
      <c r="Y26" s="20">
        <f>SUM($X$26:$X$26)</f>
        <v>0</v>
      </c>
      <c r="Z26" s="20">
        <f>'TE BE'!$Z$26*'TE BF'!$Z$49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3">
      <c r="A27" s="107"/>
      <c r="B27" s="107"/>
      <c r="C27" s="107"/>
      <c r="D27" s="107"/>
      <c r="E27" s="107"/>
      <c r="F27" s="107"/>
      <c r="G27" s="23" t="s">
        <v>70</v>
      </c>
      <c r="H27" s="23" t="s">
        <v>68</v>
      </c>
      <c r="I27" s="23">
        <f>'MERCADO TE'!$U$24</f>
        <v>0</v>
      </c>
      <c r="J27" s="15"/>
      <c r="L27" s="20">
        <f>'TE BE'!$L$27*'TE BF'!$L$49</f>
        <v>0</v>
      </c>
      <c r="M27" s="20">
        <f>'TE BE'!$M$27*'TE BF'!$M$49</f>
        <v>0</v>
      </c>
      <c r="N27" s="20">
        <f>'TE BE'!$N$27*'TE BF'!$N$49</f>
        <v>0</v>
      </c>
      <c r="O27" s="20">
        <f>'TE BE'!$O$27*'TE BF'!$O$49</f>
        <v>0</v>
      </c>
      <c r="P27" s="20">
        <f>'TE BE'!$P$27*'TE BF'!$P$49</f>
        <v>0</v>
      </c>
      <c r="Q27" s="20">
        <f>SUM($L$27:$P$27)</f>
        <v>0</v>
      </c>
      <c r="R27" s="20">
        <f>'TE BE'!$R$27*'TE BF'!$R$49</f>
        <v>0</v>
      </c>
      <c r="S27" s="20">
        <f>SUM($R$27:$R$27)</f>
        <v>0</v>
      </c>
      <c r="T27" s="20">
        <f>'TE BE'!$T$27*'TE BF'!$T$49</f>
        <v>0</v>
      </c>
      <c r="U27" s="20">
        <f>'TE BE'!$U$27*'TE BF'!$U$49</f>
        <v>0</v>
      </c>
      <c r="V27" s="20">
        <f>'TE BE'!$V$27*'TE BF'!$V$49</f>
        <v>0</v>
      </c>
      <c r="W27" s="20">
        <f>SUM($T$27:$V$27)</f>
        <v>0</v>
      </c>
      <c r="X27" s="20">
        <f>'TE BE'!$AB$27*'TE BF'!$X$49</f>
        <v>0</v>
      </c>
      <c r="Y27" s="20">
        <f>SUM($X$27:$X$27)</f>
        <v>0</v>
      </c>
      <c r="Z27" s="20">
        <f>'TE BE'!$Z$27*'TE BF'!$Z$49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3">
      <c r="A28" s="107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'TE BE'!$L$28*'TE BF'!$L$49</f>
        <v>0</v>
      </c>
      <c r="M28" s="20">
        <f>'TE BE'!$M$28*'TE BF'!$M$49</f>
        <v>0</v>
      </c>
      <c r="N28" s="20">
        <f>'TE BE'!$N$28*'TE BF'!$N$49</f>
        <v>0</v>
      </c>
      <c r="O28" s="20">
        <f>'TE BE'!$O$28*'TE BF'!$O$49</f>
        <v>0</v>
      </c>
      <c r="P28" s="20">
        <f>'TE BE'!$P$28*'TE BF'!$P$49</f>
        <v>0</v>
      </c>
      <c r="Q28" s="20">
        <f>SUM($L$28:$P$28)</f>
        <v>0</v>
      </c>
      <c r="R28" s="20">
        <f>'TE BE'!$R$28*'TE BF'!$R$49</f>
        <v>0</v>
      </c>
      <c r="S28" s="20">
        <f>SUM($R$28:$R$28)</f>
        <v>0</v>
      </c>
      <c r="T28" s="20">
        <f>'TE BE'!$T$28*'TE BF'!$T$49</f>
        <v>0</v>
      </c>
      <c r="U28" s="20">
        <f>'TE BE'!$U$28*'TE BF'!$U$49</f>
        <v>0</v>
      </c>
      <c r="V28" s="20">
        <f>'TE BE'!$V$28*'TE BF'!$V$49</f>
        <v>0</v>
      </c>
      <c r="W28" s="20">
        <f>SUM($T$28:$V$28)</f>
        <v>0</v>
      </c>
      <c r="X28" s="20">
        <f>'TE BE'!$AB$28*'TE BF'!$X$49</f>
        <v>0</v>
      </c>
      <c r="Y28" s="20">
        <f>SUM($X$28:$X$28)</f>
        <v>0</v>
      </c>
      <c r="Z28" s="20">
        <f>'TE BE'!$Z$28*'TE BF'!$Z$49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3">
      <c r="A29" s="107"/>
      <c r="B29" s="107" t="s">
        <v>67</v>
      </c>
      <c r="C29" s="107" t="s">
        <v>42</v>
      </c>
      <c r="D29" s="107" t="s">
        <v>86</v>
      </c>
      <c r="E29" s="107" t="s">
        <v>25</v>
      </c>
      <c r="F29" s="107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'TE BE'!$L$29*'TE BF'!$L$49</f>
        <v>0</v>
      </c>
      <c r="M29" s="20">
        <f>'TE BE'!$M$29*'TE BF'!$M$49</f>
        <v>0</v>
      </c>
      <c r="N29" s="20">
        <f>'TE BE'!$N$29*'TE BF'!$N$49</f>
        <v>0</v>
      </c>
      <c r="O29" s="20">
        <f>'TE BE'!$O$29*'TE BF'!$O$49</f>
        <v>0</v>
      </c>
      <c r="P29" s="20">
        <f>'TE BE'!$P$29*'TE BF'!$P$49</f>
        <v>0</v>
      </c>
      <c r="Q29" s="20">
        <f>SUM($L$29:$P$29)</f>
        <v>0</v>
      </c>
      <c r="R29" s="20">
        <f>'TE BE'!$R$29*'TE BF'!$R$49</f>
        <v>0</v>
      </c>
      <c r="S29" s="20">
        <f>SUM($R$29:$R$29)</f>
        <v>0</v>
      </c>
      <c r="T29" s="20">
        <f>'TE BE'!$T$29*'TE BF'!$T$49</f>
        <v>0</v>
      </c>
      <c r="U29" s="20">
        <f>'TE BE'!$U$29*'TE BF'!$U$49</f>
        <v>0</v>
      </c>
      <c r="V29" s="20">
        <f>'TE BE'!$V$29*'TE BF'!$V$49</f>
        <v>0</v>
      </c>
      <c r="W29" s="20">
        <f>SUM($T$29:$V$29)</f>
        <v>0</v>
      </c>
      <c r="X29" s="20">
        <f>'TE BE'!$AB$29*'TE BF'!$X$49</f>
        <v>0</v>
      </c>
      <c r="Y29" s="20">
        <f>SUM($X$29:$X$29)</f>
        <v>0</v>
      </c>
      <c r="Z29" s="20">
        <f>'TE BE'!$Z$29*'TE BF'!$Z$49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3">
      <c r="A30" s="107"/>
      <c r="B30" s="107"/>
      <c r="C30" s="107"/>
      <c r="D30" s="107"/>
      <c r="E30" s="107"/>
      <c r="F30" s="107"/>
      <c r="G30" s="23" t="s">
        <v>82</v>
      </c>
      <c r="H30" s="23" t="s">
        <v>68</v>
      </c>
      <c r="I30" s="23">
        <f>'MERCADO TE'!$U$27</f>
        <v>0</v>
      </c>
      <c r="J30" s="15"/>
      <c r="L30" s="20">
        <f>'TE BE'!$L$30*'TE BF'!$L$49</f>
        <v>0</v>
      </c>
      <c r="M30" s="20">
        <f>'TE BE'!$M$30*'TE BF'!$M$49</f>
        <v>0</v>
      </c>
      <c r="N30" s="20">
        <f>'TE BE'!$N$30*'TE BF'!$N$49</f>
        <v>0</v>
      </c>
      <c r="O30" s="20">
        <f>'TE BE'!$O$30*'TE BF'!$O$49</f>
        <v>0</v>
      </c>
      <c r="P30" s="20">
        <f>'TE BE'!$P$30*'TE BF'!$P$49</f>
        <v>0</v>
      </c>
      <c r="Q30" s="20">
        <f>SUM($L$30:$P$30)</f>
        <v>0</v>
      </c>
      <c r="R30" s="20">
        <f>'TE BE'!$R$30*'TE BF'!$R$49</f>
        <v>0</v>
      </c>
      <c r="S30" s="20">
        <f>SUM($R$30:$R$30)</f>
        <v>0</v>
      </c>
      <c r="T30" s="20">
        <f>'TE BE'!$T$30*'TE BF'!$T$49</f>
        <v>0</v>
      </c>
      <c r="U30" s="20">
        <f>'TE BE'!$U$30*'TE BF'!$U$49</f>
        <v>0</v>
      </c>
      <c r="V30" s="20">
        <f>'TE BE'!$V$30*'TE BF'!$V$49</f>
        <v>0</v>
      </c>
      <c r="W30" s="20">
        <f>SUM($T$30:$V$30)</f>
        <v>0</v>
      </c>
      <c r="X30" s="20">
        <f>'TE BE'!$AB$30*'TE BF'!$X$49</f>
        <v>0</v>
      </c>
      <c r="Y30" s="20">
        <f>SUM($X$30:$X$30)</f>
        <v>0</v>
      </c>
      <c r="Z30" s="20">
        <f>'TE BE'!$Z$30*'TE BF'!$Z$49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3">
      <c r="A31" s="107"/>
      <c r="B31" s="107"/>
      <c r="C31" s="107"/>
      <c r="D31" s="107"/>
      <c r="E31" s="107"/>
      <c r="F31" s="107"/>
      <c r="G31" s="23" t="s">
        <v>70</v>
      </c>
      <c r="H31" s="23" t="s">
        <v>68</v>
      </c>
      <c r="I31" s="23">
        <f>'MERCADO TE'!$U$28</f>
        <v>0</v>
      </c>
      <c r="J31" s="15"/>
      <c r="L31" s="20">
        <f>'TE BE'!$L$31*'TE BF'!$L$49</f>
        <v>0</v>
      </c>
      <c r="M31" s="20">
        <f>'TE BE'!$M$31*'TE BF'!$M$49</f>
        <v>0</v>
      </c>
      <c r="N31" s="20">
        <f>'TE BE'!$N$31*'TE BF'!$N$49</f>
        <v>0</v>
      </c>
      <c r="O31" s="20">
        <f>'TE BE'!$O$31*'TE BF'!$O$49</f>
        <v>0</v>
      </c>
      <c r="P31" s="20">
        <f>'TE BE'!$P$31*'TE BF'!$P$49</f>
        <v>0</v>
      </c>
      <c r="Q31" s="20">
        <f>SUM($L$31:$P$31)</f>
        <v>0</v>
      </c>
      <c r="R31" s="20">
        <f>'TE BE'!$R$31*'TE BF'!$R$49</f>
        <v>0</v>
      </c>
      <c r="S31" s="20">
        <f>SUM($R$31:$R$31)</f>
        <v>0</v>
      </c>
      <c r="T31" s="20">
        <f>'TE BE'!$T$31*'TE BF'!$T$49</f>
        <v>0</v>
      </c>
      <c r="U31" s="20">
        <f>'TE BE'!$U$31*'TE BF'!$U$49</f>
        <v>0</v>
      </c>
      <c r="V31" s="20">
        <f>'TE BE'!$V$31*'TE BF'!$V$49</f>
        <v>0</v>
      </c>
      <c r="W31" s="20">
        <f>SUM($T$31:$V$31)</f>
        <v>0</v>
      </c>
      <c r="X31" s="20">
        <f>'TE BE'!$AB$31*'TE BF'!$X$49</f>
        <v>0</v>
      </c>
      <c r="Y31" s="20">
        <f>SUM($X$31:$X$31)</f>
        <v>0</v>
      </c>
      <c r="Z31" s="20">
        <f>'TE BE'!$Z$31*'TE BF'!$Z$49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3">
      <c r="A32" s="107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'TE BE'!$L$32*'TE BF'!$L$49</f>
        <v>0</v>
      </c>
      <c r="M32" s="20">
        <f>'TE BE'!$M$32*'TE BF'!$M$49</f>
        <v>0</v>
      </c>
      <c r="N32" s="20">
        <f>'TE BE'!$N$32*'TE BF'!$N$49</f>
        <v>0</v>
      </c>
      <c r="O32" s="20">
        <f>'TE BE'!$O$32*'TE BF'!$O$49</f>
        <v>0</v>
      </c>
      <c r="P32" s="20">
        <f>'TE BE'!$P$32*'TE BF'!$P$49</f>
        <v>0</v>
      </c>
      <c r="Q32" s="20">
        <f>SUM($L$32:$P$32)</f>
        <v>0</v>
      </c>
      <c r="R32" s="20">
        <f>'TE BE'!$R$32*'TE BF'!$R$49</f>
        <v>0</v>
      </c>
      <c r="S32" s="20">
        <f>SUM($R$32:$R$32)</f>
        <v>0</v>
      </c>
      <c r="T32" s="20">
        <f>'TE BE'!$T$32*'TE BF'!$T$49</f>
        <v>0</v>
      </c>
      <c r="U32" s="20">
        <f>'TE BE'!$U$32*'TE BF'!$U$49</f>
        <v>0</v>
      </c>
      <c r="V32" s="20">
        <f>'TE BE'!$V$32*'TE BF'!$V$49</f>
        <v>0</v>
      </c>
      <c r="W32" s="20">
        <f>SUM($T$32:$V$32)</f>
        <v>0</v>
      </c>
      <c r="X32" s="20">
        <f>'TE BE'!$AB$32*'TE BF'!$X$49</f>
        <v>0</v>
      </c>
      <c r="Y32" s="20">
        <f>SUM($X$32:$X$32)</f>
        <v>0</v>
      </c>
      <c r="Z32" s="20">
        <f>'TE BE'!$Z$32*'TE BF'!$Z$49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3">
      <c r="A33" s="107"/>
      <c r="B33" s="107" t="s">
        <v>83</v>
      </c>
      <c r="C33" s="107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'TE BE'!$L$33*'TE BF'!$L$49</f>
        <v>0</v>
      </c>
      <c r="M33" s="20">
        <f>'TE BE'!$M$33*'TE BF'!$M$49</f>
        <v>0</v>
      </c>
      <c r="N33" s="20">
        <f>'TE BE'!$N$33*'TE BF'!$N$49</f>
        <v>0</v>
      </c>
      <c r="O33" s="20">
        <f>'TE BE'!$O$33*'TE BF'!$O$49</f>
        <v>0</v>
      </c>
      <c r="P33" s="20">
        <f>'TE BE'!$P$33*'TE BF'!$P$49</f>
        <v>0</v>
      </c>
      <c r="Q33" s="20">
        <f>SUM($L$33:$P$33)</f>
        <v>0</v>
      </c>
      <c r="R33" s="20">
        <f>'TE BE'!$R$33*'TE BF'!$R$49</f>
        <v>0</v>
      </c>
      <c r="S33" s="20">
        <f>SUM($R$33:$R$33)</f>
        <v>0</v>
      </c>
      <c r="T33" s="20">
        <f>'TE BE'!$T$33*'TE BF'!$T$49</f>
        <v>0</v>
      </c>
      <c r="U33" s="20">
        <f>'TE BE'!$U$33*'TE BF'!$U$49</f>
        <v>0</v>
      </c>
      <c r="V33" s="20">
        <f>'TE BE'!$V$33*'TE BF'!$V$49</f>
        <v>0</v>
      </c>
      <c r="W33" s="20">
        <f>SUM($T$33:$V$33)</f>
        <v>0</v>
      </c>
      <c r="X33" s="20">
        <f>'TE BE'!$AB$33*'TE BF'!$X$49</f>
        <v>0</v>
      </c>
      <c r="Y33" s="20">
        <f>SUM($X$33:$X$33)</f>
        <v>0</v>
      </c>
      <c r="Z33" s="20">
        <f>'TE BE'!$Z$33*'TE BF'!$Z$49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3">
      <c r="A34" s="107"/>
      <c r="B34" s="107"/>
      <c r="C34" s="107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'TE BE'!$L$34*'TE BF'!$L$49</f>
        <v>0</v>
      </c>
      <c r="M34" s="20">
        <f>'TE BE'!$M$34*'TE BF'!$M$49</f>
        <v>0</v>
      </c>
      <c r="N34" s="20">
        <f>'TE BE'!$N$34*'TE BF'!$N$49</f>
        <v>0</v>
      </c>
      <c r="O34" s="20">
        <f>'TE BE'!$O$34*'TE BF'!$O$49</f>
        <v>0</v>
      </c>
      <c r="P34" s="20">
        <f>'TE BE'!$P$34*'TE BF'!$P$49</f>
        <v>0</v>
      </c>
      <c r="Q34" s="20">
        <f>SUM($L$34:$P$34)</f>
        <v>0</v>
      </c>
      <c r="R34" s="20">
        <f>'TE BE'!$R$34*'TE BF'!$R$49</f>
        <v>0</v>
      </c>
      <c r="S34" s="20">
        <f>SUM($R$34:$R$34)</f>
        <v>0</v>
      </c>
      <c r="T34" s="20">
        <f>'TE BE'!$T$34*'TE BF'!$T$49</f>
        <v>0</v>
      </c>
      <c r="U34" s="20">
        <f>'TE BE'!$U$34*'TE BF'!$U$49</f>
        <v>0</v>
      </c>
      <c r="V34" s="20">
        <f>'TE BE'!$V$34*'TE BF'!$V$49</f>
        <v>0</v>
      </c>
      <c r="W34" s="20">
        <f>SUM($T$34:$V$34)</f>
        <v>0</v>
      </c>
      <c r="X34" s="20">
        <f>'TE BE'!$AB$34*'TE BF'!$X$49</f>
        <v>0</v>
      </c>
      <c r="Y34" s="20">
        <f>SUM($X$34:$X$34)</f>
        <v>0</v>
      </c>
      <c r="Z34" s="20">
        <f>'TE BE'!$Z$34*'TE BF'!$Z$49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3">
      <c r="A35" s="107"/>
      <c r="B35" s="107"/>
      <c r="C35" s="107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'TE BE'!$L$35*'TE BF'!$L$49</f>
        <v>0</v>
      </c>
      <c r="M35" s="20">
        <f>'TE BE'!$M$35*'TE BF'!$M$49</f>
        <v>0</v>
      </c>
      <c r="N35" s="20">
        <f>'TE BE'!$N$35*'TE BF'!$N$49</f>
        <v>0</v>
      </c>
      <c r="O35" s="20">
        <f>'TE BE'!$O$35*'TE BF'!$O$49</f>
        <v>0</v>
      </c>
      <c r="P35" s="20">
        <f>'TE BE'!$P$35*'TE BF'!$P$49</f>
        <v>0</v>
      </c>
      <c r="Q35" s="20">
        <f>SUM($L$35:$P$35)</f>
        <v>0</v>
      </c>
      <c r="R35" s="20">
        <f>'TE BE'!$R$35*'TE BF'!$R$49</f>
        <v>0</v>
      </c>
      <c r="S35" s="20">
        <f>SUM($R$35:$R$35)</f>
        <v>0</v>
      </c>
      <c r="T35" s="20">
        <f>'TE BE'!$T$35*'TE BF'!$T$49</f>
        <v>0</v>
      </c>
      <c r="U35" s="20">
        <f>'TE BE'!$U$35*'TE BF'!$U$49</f>
        <v>0</v>
      </c>
      <c r="V35" s="20">
        <f>'TE BE'!$V$35*'TE BF'!$V$49</f>
        <v>0</v>
      </c>
      <c r="W35" s="20">
        <f>SUM($T$35:$V$35)</f>
        <v>0</v>
      </c>
      <c r="X35" s="20">
        <f>'TE BE'!$AB$35*'TE BF'!$X$49</f>
        <v>0</v>
      </c>
      <c r="Y35" s="20">
        <f>SUM($X$35:$X$35)</f>
        <v>0</v>
      </c>
      <c r="Z35" s="20">
        <f>'TE BE'!$Z$35*'TE BF'!$Z$49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3">
      <c r="A36" s="107" t="s">
        <v>36</v>
      </c>
      <c r="B36" s="107" t="s">
        <v>67</v>
      </c>
      <c r="C36" s="107" t="s">
        <v>25</v>
      </c>
      <c r="D36" s="107" t="s">
        <v>25</v>
      </c>
      <c r="E36" s="107" t="s">
        <v>25</v>
      </c>
      <c r="F36" s="107" t="s">
        <v>25</v>
      </c>
      <c r="G36" s="23" t="s">
        <v>69</v>
      </c>
      <c r="H36" s="23" t="s">
        <v>68</v>
      </c>
      <c r="I36" s="23">
        <f>'MERCADO TE'!$U$33</f>
        <v>0</v>
      </c>
      <c r="J36" s="15"/>
      <c r="L36" s="20">
        <f>'TE BE'!$L$36*'TE BF'!$L$49</f>
        <v>0</v>
      </c>
      <c r="M36" s="20">
        <f>'TE BE'!$M$36*'TE BF'!$M$49</f>
        <v>0</v>
      </c>
      <c r="N36" s="20">
        <f>'TE BE'!$N$36*'TE BF'!$N$49</f>
        <v>0</v>
      </c>
      <c r="O36" s="20">
        <f>'TE BE'!$O$36*'TE BF'!$O$49</f>
        <v>0</v>
      </c>
      <c r="P36" s="20">
        <f>'TE BE'!$P$36*'TE BF'!$P$49</f>
        <v>0</v>
      </c>
      <c r="Q36" s="20">
        <f>SUM($L$36:$P$36)</f>
        <v>0</v>
      </c>
      <c r="R36" s="20">
        <f>'TE BE'!$R$36*'TE BF'!$R$49</f>
        <v>0</v>
      </c>
      <c r="S36" s="20">
        <f>SUM($R$36:$R$36)</f>
        <v>0</v>
      </c>
      <c r="T36" s="20">
        <f>'TE BE'!$T$36*'TE BF'!$T$49</f>
        <v>0</v>
      </c>
      <c r="U36" s="20">
        <f>'TE BE'!$U$36*'TE BF'!$U$49</f>
        <v>0</v>
      </c>
      <c r="V36" s="20">
        <f>'TE BE'!$V$36*'TE BF'!$V$49</f>
        <v>0</v>
      </c>
      <c r="W36" s="20">
        <f>SUM($T$36:$V$36)</f>
        <v>0</v>
      </c>
      <c r="X36" s="20">
        <f>'TE BE'!$AB$36*'TE BF'!$X$49</f>
        <v>0</v>
      </c>
      <c r="Y36" s="20">
        <f>SUM($X$36:$X$36)</f>
        <v>0</v>
      </c>
      <c r="Z36" s="20">
        <f>'TE BE'!$Z$36*'TE BF'!$Z$49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3">
      <c r="A37" s="107"/>
      <c r="B37" s="107"/>
      <c r="C37" s="107"/>
      <c r="D37" s="107"/>
      <c r="E37" s="107"/>
      <c r="F37" s="107"/>
      <c r="G37" s="23" t="s">
        <v>82</v>
      </c>
      <c r="H37" s="23" t="s">
        <v>68</v>
      </c>
      <c r="I37" s="23">
        <f>'MERCADO TE'!$U$34</f>
        <v>0</v>
      </c>
      <c r="J37" s="15"/>
      <c r="L37" s="20">
        <f>'TE BE'!$L$37*'TE BF'!$L$49</f>
        <v>0</v>
      </c>
      <c r="M37" s="20">
        <f>'TE BE'!$M$37*'TE BF'!$M$49</f>
        <v>0</v>
      </c>
      <c r="N37" s="20">
        <f>'TE BE'!$N$37*'TE BF'!$N$49</f>
        <v>0</v>
      </c>
      <c r="O37" s="20">
        <f>'TE BE'!$O$37*'TE BF'!$O$49</f>
        <v>0</v>
      </c>
      <c r="P37" s="20">
        <f>'TE BE'!$P$37*'TE BF'!$P$49</f>
        <v>0</v>
      </c>
      <c r="Q37" s="20">
        <f>SUM($L$37:$P$37)</f>
        <v>0</v>
      </c>
      <c r="R37" s="20">
        <f>'TE BE'!$R$37*'TE BF'!$R$49</f>
        <v>0</v>
      </c>
      <c r="S37" s="20">
        <f>SUM($R$37:$R$37)</f>
        <v>0</v>
      </c>
      <c r="T37" s="20">
        <f>'TE BE'!$T$37*'TE BF'!$T$49</f>
        <v>0</v>
      </c>
      <c r="U37" s="20">
        <f>'TE BE'!$U$37*'TE BF'!$U$49</f>
        <v>0</v>
      </c>
      <c r="V37" s="20">
        <f>'TE BE'!$V$37*'TE BF'!$V$49</f>
        <v>0</v>
      </c>
      <c r="W37" s="20">
        <f>SUM($T$37:$V$37)</f>
        <v>0</v>
      </c>
      <c r="X37" s="20">
        <f>'TE BE'!$AB$37*'TE BF'!$X$49</f>
        <v>0</v>
      </c>
      <c r="Y37" s="20">
        <f>SUM($X$37:$X$37)</f>
        <v>0</v>
      </c>
      <c r="Z37" s="20">
        <f>'TE BE'!$Z$37*'TE BF'!$Z$49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3">
      <c r="A38" s="107"/>
      <c r="B38" s="107"/>
      <c r="C38" s="107"/>
      <c r="D38" s="107"/>
      <c r="E38" s="107"/>
      <c r="F38" s="107"/>
      <c r="G38" s="23" t="s">
        <v>70</v>
      </c>
      <c r="H38" s="23" t="s">
        <v>68</v>
      </c>
      <c r="I38" s="23">
        <f>'MERCADO TE'!$U$35</f>
        <v>0</v>
      </c>
      <c r="J38" s="15"/>
      <c r="L38" s="20">
        <f>'TE BE'!$L$38*'TE BF'!$L$49</f>
        <v>0</v>
      </c>
      <c r="M38" s="20">
        <f>'TE BE'!$M$38*'TE BF'!$M$49</f>
        <v>0</v>
      </c>
      <c r="N38" s="20">
        <f>'TE BE'!$N$38*'TE BF'!$N$49</f>
        <v>0</v>
      </c>
      <c r="O38" s="20">
        <f>'TE BE'!$O$38*'TE BF'!$O$49</f>
        <v>0</v>
      </c>
      <c r="P38" s="20">
        <f>'TE BE'!$P$38*'TE BF'!$P$49</f>
        <v>0</v>
      </c>
      <c r="Q38" s="20">
        <f>SUM($L$38:$P$38)</f>
        <v>0</v>
      </c>
      <c r="R38" s="20">
        <f>'TE BE'!$R$38*'TE BF'!$R$49</f>
        <v>0</v>
      </c>
      <c r="S38" s="20">
        <f>SUM($R$38:$R$38)</f>
        <v>0</v>
      </c>
      <c r="T38" s="20">
        <f>'TE BE'!$T$38*'TE BF'!$T$49</f>
        <v>0</v>
      </c>
      <c r="U38" s="20">
        <f>'TE BE'!$U$38*'TE BF'!$U$49</f>
        <v>0</v>
      </c>
      <c r="V38" s="20">
        <f>'TE BE'!$V$38*'TE BF'!$V$49</f>
        <v>0</v>
      </c>
      <c r="W38" s="20">
        <f>SUM($T$38:$V$38)</f>
        <v>0</v>
      </c>
      <c r="X38" s="20">
        <f>'TE BE'!$AB$38*'TE BF'!$X$49</f>
        <v>0</v>
      </c>
      <c r="Y38" s="20">
        <f>SUM($X$38:$X$38)</f>
        <v>0</v>
      </c>
      <c r="Z38" s="20">
        <f>'TE BE'!$Z$38*'TE BF'!$Z$49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3">
      <c r="A39" s="107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643.45600000000002</v>
      </c>
      <c r="J39" s="15"/>
      <c r="L39" s="20">
        <f>'TE BE'!$L$39*'TE BF'!$L$49</f>
        <v>0</v>
      </c>
      <c r="M39" s="20">
        <f>'TE BE'!$M$39*'TE BF'!$M$49</f>
        <v>0</v>
      </c>
      <c r="N39" s="20">
        <f>'TE BE'!$N$39*'TE BF'!$N$49</f>
        <v>0</v>
      </c>
      <c r="O39" s="20">
        <f>'TE BE'!$O$39*'TE BF'!$O$49</f>
        <v>0</v>
      </c>
      <c r="P39" s="20">
        <f>'TE BE'!$P$39*'TE BF'!$P$49</f>
        <v>0</v>
      </c>
      <c r="Q39" s="20">
        <f>SUM($L$39:$P$39)</f>
        <v>0</v>
      </c>
      <c r="R39" s="20">
        <f>'TE BE'!$R$39*'TE BF'!$R$49</f>
        <v>0</v>
      </c>
      <c r="S39" s="20">
        <f>SUM($R$39:$R$39)</f>
        <v>0</v>
      </c>
      <c r="T39" s="20">
        <f>'TE BE'!$T$39*'TE BF'!$T$49</f>
        <v>0</v>
      </c>
      <c r="U39" s="20">
        <f>'TE BE'!$U$39*'TE BF'!$U$49</f>
        <v>0</v>
      </c>
      <c r="V39" s="20">
        <f>'TE BE'!$V$39*'TE BF'!$V$49</f>
        <v>0</v>
      </c>
      <c r="W39" s="20">
        <f>SUM($T$39:$V$39)</f>
        <v>0</v>
      </c>
      <c r="X39" s="20">
        <f>'TE BE'!$AB$39*'TE BF'!$X$49</f>
        <v>0</v>
      </c>
      <c r="Y39" s="20">
        <f>SUM($X$39:$X$39)</f>
        <v>0</v>
      </c>
      <c r="Z39" s="20">
        <f>'TE BE'!$Z$39*'TE BF'!$Z$49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3">
      <c r="A40" s="107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'TE BE'!$L$40*'TE BF'!$L$49</f>
        <v>0</v>
      </c>
      <c r="M40" s="20">
        <f>'TE BE'!$M$40*'TE BF'!$M$49</f>
        <v>0</v>
      </c>
      <c r="N40" s="20">
        <f>'TE BE'!$N$40*'TE BF'!$N$49</f>
        <v>0</v>
      </c>
      <c r="O40" s="20">
        <f>'TE BE'!$O$40*'TE BF'!$O$49</f>
        <v>0</v>
      </c>
      <c r="P40" s="20">
        <f>'TE BE'!$P$40*'TE BF'!$P$49</f>
        <v>0</v>
      </c>
      <c r="Q40" s="20">
        <f>SUM($L$40:$P$40)</f>
        <v>0</v>
      </c>
      <c r="R40" s="20">
        <f>'TE BE'!$R$40*'TE BF'!$R$49</f>
        <v>0</v>
      </c>
      <c r="S40" s="20">
        <f>SUM($R$40:$R$40)</f>
        <v>0</v>
      </c>
      <c r="T40" s="20">
        <f>'TE BE'!$T$40*'TE BF'!$T$49</f>
        <v>0</v>
      </c>
      <c r="U40" s="20">
        <f>'TE BE'!$U$40*'TE BF'!$U$49</f>
        <v>0</v>
      </c>
      <c r="V40" s="20">
        <f>'TE BE'!$V$40*'TE BF'!$V$49</f>
        <v>0</v>
      </c>
      <c r="W40" s="20">
        <f>SUM($T$40:$V$40)</f>
        <v>0</v>
      </c>
      <c r="X40" s="20">
        <f>'TE BE'!$AB$40*'TE BF'!$X$49</f>
        <v>0</v>
      </c>
      <c r="Y40" s="20">
        <f>SUM($X$40:$X$40)</f>
        <v>0</v>
      </c>
      <c r="Z40" s="20">
        <f>'TE BE'!$Z$40*'TE BF'!$Z$49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3">
      <c r="A41" s="107" t="s">
        <v>44</v>
      </c>
      <c r="B41" s="107" t="s">
        <v>71</v>
      </c>
      <c r="C41" s="107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546.72599999999989</v>
      </c>
      <c r="J41" s="15"/>
      <c r="L41" s="20">
        <f>'TE BE'!$L$41*'TE BF'!$L$49</f>
        <v>0</v>
      </c>
      <c r="M41" s="20">
        <f>'TE BE'!$M$41*'TE BF'!$M$49</f>
        <v>0</v>
      </c>
      <c r="N41" s="20">
        <f>'TE BE'!$N$41*'TE BF'!$N$49</f>
        <v>0</v>
      </c>
      <c r="O41" s="20">
        <f>'TE BE'!$O$41*'TE BF'!$O$49</f>
        <v>0</v>
      </c>
      <c r="P41" s="20">
        <f>'TE BE'!$P$41*'TE BF'!$P$49</f>
        <v>0</v>
      </c>
      <c r="Q41" s="20">
        <f>SUM($L$41:$P$41)</f>
        <v>0</v>
      </c>
      <c r="R41" s="20">
        <f>'TE BE'!$R$41*'TE BF'!$R$49</f>
        <v>0</v>
      </c>
      <c r="S41" s="20">
        <f>SUM($R$41:$R$41)</f>
        <v>0</v>
      </c>
      <c r="T41" s="20">
        <f>'TE BE'!$T$41*'TE BF'!$T$49</f>
        <v>0</v>
      </c>
      <c r="U41" s="20">
        <f>'TE BE'!$U$41*'TE BF'!$U$49</f>
        <v>0</v>
      </c>
      <c r="V41" s="20">
        <f>'TE BE'!$V$41*'TE BF'!$V$49</f>
        <v>0</v>
      </c>
      <c r="W41" s="20">
        <f>SUM($T$41:$V$41)</f>
        <v>0</v>
      </c>
      <c r="X41" s="20">
        <f>'TE BE'!$AB$41*'TE BF'!$X$49</f>
        <v>0</v>
      </c>
      <c r="Y41" s="20">
        <f>SUM($X$41:$X$41)</f>
        <v>0</v>
      </c>
      <c r="Z41" s="20">
        <f>'TE BE'!$Z$41*'TE BF'!$Z$49</f>
        <v>0</v>
      </c>
      <c r="AA41" s="20">
        <f>SUM($Z$41:$Z$41)</f>
        <v>0</v>
      </c>
      <c r="AB41" s="20">
        <f>SUMIF($L$4:$AA$4,"SUBTOTAL",$L$41:$AA$41)</f>
        <v>0</v>
      </c>
    </row>
    <row r="42" spans="1:28" ht="11.25" customHeight="1" x14ac:dyDescent="0.3">
      <c r="A42" s="107"/>
      <c r="B42" s="107"/>
      <c r="C42" s="107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'TE BE'!$L$42*'TE BF'!$L$49</f>
        <v>0</v>
      </c>
      <c r="M42" s="20">
        <f>'TE BE'!$M$42*'TE BF'!$M$49</f>
        <v>0</v>
      </c>
      <c r="N42" s="20">
        <f>'TE BE'!$N$42*'TE BF'!$N$49</f>
        <v>0</v>
      </c>
      <c r="O42" s="20">
        <f>'TE BE'!$O$42*'TE BF'!$O$49</f>
        <v>0</v>
      </c>
      <c r="P42" s="20">
        <f>'TE BE'!$P$42*'TE BF'!$P$49</f>
        <v>0</v>
      </c>
      <c r="Q42" s="20">
        <f>SUM($L$42:$P$42)</f>
        <v>0</v>
      </c>
      <c r="R42" s="20">
        <f>'TE BE'!$R$42*'TE BF'!$R$49</f>
        <v>0</v>
      </c>
      <c r="S42" s="20">
        <f>SUM($R$42:$R$42)</f>
        <v>0</v>
      </c>
      <c r="T42" s="20">
        <f>'TE BE'!$T$42*'TE BF'!$T$49</f>
        <v>0</v>
      </c>
      <c r="U42" s="20">
        <f>'TE BE'!$U$42*'TE BF'!$U$49</f>
        <v>0</v>
      </c>
      <c r="V42" s="20">
        <f>'TE BE'!$V$42*'TE BF'!$V$49</f>
        <v>0</v>
      </c>
      <c r="W42" s="20">
        <f>SUM($T$42:$V$42)</f>
        <v>0</v>
      </c>
      <c r="X42" s="20">
        <f>'TE BE'!$AB$42*'TE BF'!$X$49</f>
        <v>0</v>
      </c>
      <c r="Y42" s="20">
        <f>SUM($X$42:$X$42)</f>
        <v>0</v>
      </c>
      <c r="Z42" s="20">
        <f>'TE BE'!$Z$42*'TE BF'!$Z$49</f>
        <v>0</v>
      </c>
      <c r="AA42" s="20">
        <f>SUM($Z$42:$Z$42)</f>
        <v>0</v>
      </c>
      <c r="AB42" s="20">
        <f>SUMIF($L$4:$AA$4,"SUBTOTAL",$L$42:$AA$42)</f>
        <v>0</v>
      </c>
    </row>
    <row r="44" spans="1:28" ht="11.25" customHeight="1" x14ac:dyDescent="0.3">
      <c r="K44" s="25" t="s">
        <v>518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0</v>
      </c>
      <c r="S44" s="20">
        <f t="shared" si="0"/>
        <v>0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0</v>
      </c>
    </row>
    <row r="45" spans="1:28" ht="11.25" customHeight="1" x14ac:dyDescent="0.3">
      <c r="K45" s="25" t="s">
        <v>437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2984438.2373716203</v>
      </c>
      <c r="S45" s="20">
        <f>CUSTOS!$D$37</f>
        <v>2984438.2373716203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2984438.2373716203</v>
      </c>
    </row>
    <row r="46" spans="1:28" ht="11.25" customHeight="1" x14ac:dyDescent="0.3">
      <c r="K46" s="25" t="s">
        <v>438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-62078.650961011466</v>
      </c>
      <c r="S46" s="20">
        <f>CUSTOS!$E$37</f>
        <v>-62078.650961011466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-62078.650961011466</v>
      </c>
    </row>
    <row r="47" spans="1:28" ht="11.25" customHeight="1" x14ac:dyDescent="0.3">
      <c r="K47" s="25" t="s">
        <v>439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580" priority="33" operator="notEqual">
      <formula>$L$47</formula>
    </cfRule>
    <cfRule type="cellIs" dxfId="579" priority="34" operator="equal">
      <formula>$L$47</formula>
    </cfRule>
  </conditionalFormatting>
  <conditionalFormatting sqref="M44">
    <cfRule type="cellIs" dxfId="578" priority="31" operator="notEqual">
      <formula>$M$47</formula>
    </cfRule>
    <cfRule type="cellIs" dxfId="577" priority="32" operator="equal">
      <formula>$M$47</formula>
    </cfRule>
  </conditionalFormatting>
  <conditionalFormatting sqref="N44">
    <cfRule type="cellIs" dxfId="576" priority="29" operator="notEqual">
      <formula>$N$47</formula>
    </cfRule>
    <cfRule type="cellIs" dxfId="575" priority="30" operator="equal">
      <formula>$N$47</formula>
    </cfRule>
  </conditionalFormatting>
  <conditionalFormatting sqref="O44">
    <cfRule type="cellIs" dxfId="574" priority="27" operator="notEqual">
      <formula>$O$47</formula>
    </cfRule>
    <cfRule type="cellIs" dxfId="573" priority="28" operator="equal">
      <formula>$O$47</formula>
    </cfRule>
  </conditionalFormatting>
  <conditionalFormatting sqref="P44">
    <cfRule type="cellIs" dxfId="572" priority="25" operator="notEqual">
      <formula>$P$47</formula>
    </cfRule>
    <cfRule type="cellIs" dxfId="571" priority="26" operator="equal">
      <formula>$P$47</formula>
    </cfRule>
  </conditionalFormatting>
  <conditionalFormatting sqref="Q44">
    <cfRule type="cellIs" dxfId="570" priority="23" operator="notEqual">
      <formula>$Q$47</formula>
    </cfRule>
    <cfRule type="cellIs" dxfId="569" priority="24" operator="equal">
      <formula>$Q$47</formula>
    </cfRule>
  </conditionalFormatting>
  <conditionalFormatting sqref="R44">
    <cfRule type="cellIs" dxfId="568" priority="21" operator="notEqual">
      <formula>$R$47</formula>
    </cfRule>
    <cfRule type="cellIs" dxfId="567" priority="22" operator="equal">
      <formula>$R$47</formula>
    </cfRule>
  </conditionalFormatting>
  <conditionalFormatting sqref="S44">
    <cfRule type="cellIs" dxfId="566" priority="19" operator="notEqual">
      <formula>$S$47</formula>
    </cfRule>
    <cfRule type="cellIs" dxfId="565" priority="20" operator="equal">
      <formula>$S$47</formula>
    </cfRule>
  </conditionalFormatting>
  <conditionalFormatting sqref="T44">
    <cfRule type="cellIs" dxfId="564" priority="17" operator="notEqual">
      <formula>$T$47</formula>
    </cfRule>
    <cfRule type="cellIs" dxfId="563" priority="18" operator="equal">
      <formula>$T$47</formula>
    </cfRule>
  </conditionalFormatting>
  <conditionalFormatting sqref="U44">
    <cfRule type="cellIs" dxfId="562" priority="15" operator="notEqual">
      <formula>$U$47</formula>
    </cfRule>
    <cfRule type="cellIs" dxfId="561" priority="16" operator="equal">
      <formula>$U$47</formula>
    </cfRule>
  </conditionalFormatting>
  <conditionalFormatting sqref="V44">
    <cfRule type="cellIs" dxfId="560" priority="13" operator="notEqual">
      <formula>$V$47</formula>
    </cfRule>
    <cfRule type="cellIs" dxfId="559" priority="14" operator="equal">
      <formula>$V$47</formula>
    </cfRule>
  </conditionalFormatting>
  <conditionalFormatting sqref="W44">
    <cfRule type="cellIs" dxfId="558" priority="11" operator="notEqual">
      <formula>$W$47</formula>
    </cfRule>
    <cfRule type="cellIs" dxfId="557" priority="12" operator="equal">
      <formula>$W$47</formula>
    </cfRule>
  </conditionalFormatting>
  <conditionalFormatting sqref="X44">
    <cfRule type="cellIs" dxfId="556" priority="9" operator="notEqual">
      <formula>$X$47</formula>
    </cfRule>
    <cfRule type="cellIs" dxfId="555" priority="10" operator="equal">
      <formula>$X$47</formula>
    </cfRule>
  </conditionalFormatting>
  <conditionalFormatting sqref="Y44">
    <cfRule type="cellIs" dxfId="554" priority="7" operator="notEqual">
      <formula>$Y$47</formula>
    </cfRule>
    <cfRule type="cellIs" dxfId="553" priority="8" operator="equal">
      <formula>$Y$47</formula>
    </cfRule>
  </conditionalFormatting>
  <conditionalFormatting sqref="Z44">
    <cfRule type="cellIs" dxfId="552" priority="5" operator="notEqual">
      <formula>$Z$47</formula>
    </cfRule>
    <cfRule type="cellIs" dxfId="551" priority="6" operator="equal">
      <formula>$Z$47</formula>
    </cfRule>
  </conditionalFormatting>
  <conditionalFormatting sqref="AA44">
    <cfRule type="cellIs" dxfId="550" priority="3" operator="notEqual">
      <formula>$AA$47</formula>
    </cfRule>
    <cfRule type="cellIs" dxfId="549" priority="4" operator="equal">
      <formula>$AA$47</formula>
    </cfRule>
  </conditionalFormatting>
  <conditionalFormatting sqref="AB44">
    <cfRule type="cellIs" dxfId="548" priority="1" operator="notEqual">
      <formula>$AB$47</formula>
    </cfRule>
    <cfRule type="cellIs" dxfId="547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F889-5BBC-4496-9EE7-F730790ED17C}">
  <dimension ref="A1:AV300"/>
  <sheetViews>
    <sheetView showGridLines="0" topLeftCell="AH1" workbookViewId="0">
      <selection activeCell="AV17" sqref="AV17"/>
    </sheetView>
  </sheetViews>
  <sheetFormatPr defaultRowHeight="11.25" customHeight="1" x14ac:dyDescent="0.3"/>
  <cols>
    <col min="1" max="1" width="18.5546875" style="4" bestFit="1" customWidth="1"/>
    <col min="2" max="2" width="12.88671875" style="4" bestFit="1" customWidth="1"/>
    <col min="3" max="3" width="14.109375" style="4" bestFit="1" customWidth="1"/>
    <col min="4" max="4" width="13.21875" style="4" bestFit="1" customWidth="1"/>
    <col min="5" max="5" width="24.44140625" style="4" bestFit="1" customWidth="1"/>
    <col min="6" max="6" width="12.88671875" style="4" bestFit="1" customWidth="1"/>
    <col min="7" max="7" width="11" style="4" bestFit="1" customWidth="1"/>
    <col min="8" max="8" width="10" style="4" bestFit="1" customWidth="1"/>
    <col min="9" max="9" width="11.77734375" style="5" bestFit="1" customWidth="1"/>
    <col min="10" max="10" width="6.77734375" style="6" bestFit="1" customWidth="1"/>
    <col min="11" max="11" width="7.6640625" style="6" bestFit="1" customWidth="1"/>
    <col min="12" max="12" width="11" style="6" bestFit="1" customWidth="1"/>
    <col min="13" max="13" width="12.21875" style="6" bestFit="1" customWidth="1"/>
    <col min="14" max="14" width="8.88671875" style="6" bestFit="1" customWidth="1"/>
    <col min="15" max="15" width="10.109375" style="6" bestFit="1" customWidth="1"/>
    <col min="16" max="16" width="7.44140625" style="6" bestFit="1" customWidth="1"/>
    <col min="17" max="17" width="10.77734375" style="4" bestFit="1" customWidth="1"/>
    <col min="18" max="18" width="12.77734375" style="4" bestFit="1" customWidth="1"/>
    <col min="19" max="19" width="22.33203125" style="4" bestFit="1" customWidth="1"/>
    <col min="20" max="20" width="23.77734375" style="4" bestFit="1" customWidth="1"/>
    <col min="21" max="21" width="21.6640625" style="4" bestFit="1" customWidth="1"/>
    <col min="22" max="22" width="15.44140625" style="4" bestFit="1" customWidth="1"/>
    <col min="23" max="23" width="16.77734375" style="4" bestFit="1" customWidth="1"/>
    <col min="24" max="24" width="14.6640625" style="4" bestFit="1" customWidth="1"/>
    <col min="25" max="25" width="20.21875" style="4" bestFit="1" customWidth="1"/>
    <col min="26" max="26" width="21.77734375" style="4" bestFit="1" customWidth="1"/>
    <col min="27" max="27" width="19.5546875" style="4" bestFit="1" customWidth="1"/>
    <col min="28" max="28" width="22.6640625" style="4" bestFit="1" customWidth="1"/>
    <col min="29" max="29" width="24" style="4" bestFit="1" customWidth="1"/>
    <col min="30" max="30" width="21.88671875" style="4" bestFit="1" customWidth="1"/>
    <col min="31" max="31" width="23.44140625" style="4" bestFit="1" customWidth="1"/>
    <col min="32" max="32" width="24.88671875" style="4" bestFit="1" customWidth="1"/>
    <col min="33" max="33" width="22.77734375" style="4" bestFit="1" customWidth="1"/>
    <col min="34" max="34" width="8.88671875" style="4"/>
    <col min="35" max="35" width="9" style="4" bestFit="1" customWidth="1"/>
    <col min="36" max="36" width="14.109375" style="4" bestFit="1" customWidth="1"/>
    <col min="37" max="37" width="15" style="4" bestFit="1" customWidth="1"/>
    <col min="38" max="38" width="9" style="4" bestFit="1" customWidth="1"/>
    <col min="39" max="39" width="8.88671875" style="4"/>
    <col min="40" max="40" width="9" style="4" bestFit="1" customWidth="1"/>
    <col min="41" max="41" width="11.88671875" style="4" bestFit="1" customWidth="1"/>
    <col min="42" max="42" width="12.88671875" style="4" bestFit="1" customWidth="1"/>
    <col min="43" max="43" width="9" style="4" bestFit="1" customWidth="1"/>
    <col min="44" max="44" width="8.88671875" style="4"/>
    <col min="45" max="45" width="9" style="4" bestFit="1" customWidth="1"/>
    <col min="46" max="46" width="10.5546875" style="4" bestFit="1" customWidth="1"/>
    <col min="47" max="47" width="11" style="4" bestFit="1" customWidth="1"/>
    <col min="48" max="48" width="9" style="4" bestFit="1" customWidth="1"/>
    <col min="49" max="16384" width="8.886718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I1" s="34" t="s">
        <v>58</v>
      </c>
      <c r="AJ1" s="34" t="s">
        <v>572</v>
      </c>
      <c r="AK1" s="34" t="s">
        <v>573</v>
      </c>
      <c r="AL1" s="34" t="s">
        <v>574</v>
      </c>
      <c r="AN1" s="34" t="s">
        <v>58</v>
      </c>
      <c r="AO1" s="34" t="s">
        <v>575</v>
      </c>
      <c r="AP1" s="34" t="s">
        <v>576</v>
      </c>
      <c r="AQ1" s="34" t="s">
        <v>574</v>
      </c>
      <c r="AS1" s="34" t="s">
        <v>58</v>
      </c>
      <c r="AT1" s="34" t="s">
        <v>577</v>
      </c>
      <c r="AU1" s="34" t="s">
        <v>578</v>
      </c>
      <c r="AV1" s="34" t="s">
        <v>574</v>
      </c>
    </row>
    <row r="2" spans="1:48" ht="11.25" customHeight="1" x14ac:dyDescent="0.3">
      <c r="A2" s="4" t="s">
        <v>21</v>
      </c>
      <c r="B2" s="4" t="s">
        <v>38</v>
      </c>
      <c r="C2" s="4" t="s">
        <v>39</v>
      </c>
      <c r="D2" s="4" t="s">
        <v>37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44440</v>
      </c>
      <c r="J2" s="6">
        <v>0</v>
      </c>
      <c r="K2" s="6">
        <v>0</v>
      </c>
      <c r="L2" s="6">
        <v>17.443999999999999</v>
      </c>
      <c r="M2" s="6">
        <v>17.443999999999999</v>
      </c>
      <c r="N2" s="6">
        <v>17.443999999999999</v>
      </c>
      <c r="O2" s="6">
        <v>17.443999999999999</v>
      </c>
      <c r="P2" s="6">
        <v>0</v>
      </c>
      <c r="Q2" s="4" t="s">
        <v>26</v>
      </c>
      <c r="R2" s="4">
        <v>0</v>
      </c>
      <c r="S2" s="6">
        <v>0</v>
      </c>
      <c r="T2" s="6">
        <v>40</v>
      </c>
      <c r="U2" s="6">
        <v>65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93.48</v>
      </c>
      <c r="X2" s="6">
        <f>IF(ISERROR(VLOOKUP($U$2,'TAR FIN'!$A$1:$O$85,15,0)),0,VLOOKUP($U$2,'TAR FIN'!$A$1:$O$85,15,0))</f>
        <v>221.6</v>
      </c>
      <c r="Y2" s="6"/>
      <c r="Z2" s="6">
        <f ca="1">('TUSD BE'!$AM$12+'TUSD BF'!$AM$12+'TUSD CVA'!$AM$12)*1</f>
        <v>126.58207043299907</v>
      </c>
      <c r="AA2" s="6">
        <f>('TE BE'!$AB$6+'TE BF'!$AB$6+'TE CVA'!$AB$6)*1</f>
        <v>269.20939423802389</v>
      </c>
      <c r="AB2" s="6">
        <f>$K$2*$V$2</f>
        <v>0</v>
      </c>
      <c r="AC2" s="6">
        <f>$M$2*$W$2</f>
        <v>1630.6651199999999</v>
      </c>
      <c r="AD2" s="6">
        <f>$O$2*$X$2</f>
        <v>3865.5903999999996</v>
      </c>
      <c r="AE2" s="6">
        <f>$K$2*$Y$2</f>
        <v>0</v>
      </c>
      <c r="AF2" s="6">
        <f ca="1">$M$2*$Z$2</f>
        <v>2208.0976366332357</v>
      </c>
      <c r="AG2" s="6">
        <f>$O$2*$AA$2</f>
        <v>4696.0886730880884</v>
      </c>
      <c r="AI2" s="35" t="s">
        <v>38</v>
      </c>
      <c r="AJ2" s="36">
        <f>SUMIF($B$2:$B$300,AI2,$AB$2:$AB$300)+SUMIF($B$2:$B$300,AI2,$AC$2:$AC$300)</f>
        <v>4317075.9818355758</v>
      </c>
      <c r="AK2" s="36">
        <f ca="1">SUMIF($B$2:$B$300,AI2,$AE$2:$AE$300)+SUMIF($B$2:$B$300,AI2,$AF$2:$AF$300)</f>
        <v>4973552.5691914773</v>
      </c>
      <c r="AL2" s="37">
        <f t="shared" ref="AL2:AL9" ca="1" si="0">IF(AJ2&lt;&gt;0,AK2/AJ2-1,0)</f>
        <v>0.15206509918242728</v>
      </c>
      <c r="AN2" s="35" t="s">
        <v>38</v>
      </c>
      <c r="AO2" s="36">
        <f>SUMIF($B$2:$B$300,AN2,$AD$2:$AD$300)</f>
        <v>623705.58300799981</v>
      </c>
      <c r="AP2" s="36">
        <f>SUMIF($B$2:$B$300,AN2,$AG$2:$AG$300)</f>
        <v>779667.136643067</v>
      </c>
      <c r="AQ2" s="37">
        <f t="shared" ref="AQ2:AQ9" si="1">IF(AO2&lt;&gt;0,AP2/AO2-1,0)</f>
        <v>0.25005636935763453</v>
      </c>
      <c r="AS2" s="35" t="s">
        <v>38</v>
      </c>
      <c r="AT2" s="36">
        <f>SUMIF($B$2:$B$300,AS2,$AB$2:$AB$300)+SUMIF($B$2:$B$300,AS2,$AC$2:$AC$300)+SUMIF($B$2:$B$300,AS2,$AD$2:$AD$300)</f>
        <v>4940781.5648435755</v>
      </c>
      <c r="AU2" s="36">
        <f ca="1">SUMIF($B$2:$B$300,AS2,$AE$2:$AE$300)+SUMIF($B$2:$B$300,AS2,$AF$2:$AF$300)+SUMIF($B$2:$B$300,AS2,$AG$2:$AG$300)</f>
        <v>5753219.7058345443</v>
      </c>
      <c r="AV2" s="37">
        <f t="shared" ref="AV2:AV9" ca="1" si="2">IF(AT2&lt;&gt;0,AU2/AT2-1,0)</f>
        <v>0.16443514661160497</v>
      </c>
    </row>
    <row r="3" spans="1:48" ht="11.25" customHeight="1" x14ac:dyDescent="0.3">
      <c r="A3" s="4" t="s">
        <v>21</v>
      </c>
      <c r="B3" s="4" t="s">
        <v>38</v>
      </c>
      <c r="C3" s="4" t="s">
        <v>39</v>
      </c>
      <c r="D3" s="4" t="s">
        <v>37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44470</v>
      </c>
      <c r="J3" s="6">
        <v>0</v>
      </c>
      <c r="K3" s="6">
        <v>0</v>
      </c>
      <c r="L3" s="6">
        <v>22.548999999999999</v>
      </c>
      <c r="M3" s="6">
        <v>22.548999999999999</v>
      </c>
      <c r="N3" s="6">
        <v>22.548999999999999</v>
      </c>
      <c r="O3" s="6">
        <v>22.548999999999999</v>
      </c>
      <c r="P3" s="6">
        <v>0</v>
      </c>
      <c r="Q3" s="4" t="s">
        <v>26</v>
      </c>
      <c r="R3" s="4">
        <v>0</v>
      </c>
      <c r="S3" s="6">
        <v>0</v>
      </c>
      <c r="T3" s="6">
        <v>40</v>
      </c>
      <c r="U3" s="6">
        <v>65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93.48</v>
      </c>
      <c r="X3" s="6">
        <f>IF(ISERROR(VLOOKUP($U$3,'TAR FIN'!$A$1:$O$85,15,0)),0,VLOOKUP($U$3,'TAR FIN'!$A$1:$O$85,15,0))</f>
        <v>221.6</v>
      </c>
      <c r="Y3" s="6"/>
      <c r="Z3" s="6">
        <f ca="1">('TUSD BE'!$AM$12+'TUSD BF'!$AM$12+'TUSD CVA'!$AM$12)*1</f>
        <v>126.58207043299907</v>
      </c>
      <c r="AA3" s="6">
        <f>('TE BE'!$AB$6+'TE BF'!$AB$6+'TE CVA'!$AB$6)*1</f>
        <v>269.20939423802389</v>
      </c>
      <c r="AB3" s="6">
        <f>$K$3*$V$3</f>
        <v>0</v>
      </c>
      <c r="AC3" s="6">
        <f>$M$3*$W$3</f>
        <v>2107.8805200000002</v>
      </c>
      <c r="AD3" s="6">
        <f>$O$3*$X$3</f>
        <v>4996.8584000000001</v>
      </c>
      <c r="AE3" s="6">
        <f>$K$3*$Y$3</f>
        <v>0</v>
      </c>
      <c r="AF3" s="6">
        <f ca="1">$M$3*$Z$3</f>
        <v>2854.2991061936959</v>
      </c>
      <c r="AG3" s="6">
        <f>$O$3*$AA$3</f>
        <v>6070.4026306732003</v>
      </c>
      <c r="AI3" s="35" t="s">
        <v>22</v>
      </c>
      <c r="AJ3" s="36">
        <f>SUMIF($B$2:$B$300,AI3,$AB$2:$AB$300)+SUMIF($B$2:$B$300,AI3,$AC$2:$AC$300)</f>
        <v>2508747.6745399986</v>
      </c>
      <c r="AK3" s="36">
        <f ca="1">SUMIF($B$2:$B$300,AI3,$AE$2:$AE$300)+SUMIF($B$2:$B$300,AI3,$AF$2:$AF$300)</f>
        <v>2627569.6092224107</v>
      </c>
      <c r="AL3" s="37">
        <f t="shared" ca="1" si="0"/>
        <v>4.7363047263889957E-2</v>
      </c>
      <c r="AN3" s="35" t="s">
        <v>22</v>
      </c>
      <c r="AO3" s="36">
        <f>SUMIF($B$2:$B$300,AN3,$AD$2:$AD$300)</f>
        <v>1210675.4348800003</v>
      </c>
      <c r="AP3" s="36">
        <f>SUMIF($B$2:$B$300,AN3,$AG$2:$AG$300)</f>
        <v>1470781.5904463043</v>
      </c>
      <c r="AQ3" s="37">
        <f t="shared" si="1"/>
        <v>0.21484383681418717</v>
      </c>
      <c r="AS3" s="35" t="s">
        <v>22</v>
      </c>
      <c r="AT3" s="36">
        <f>SUMIF($B$2:$B$300,AS3,$AB$2:$AB$300)+SUMIF($B$2:$B$300,AS3,$AC$2:$AC$300)+SUMIF($B$2:$B$300,AS3,$AD$2:$AD$300)</f>
        <v>3719423.1094199987</v>
      </c>
      <c r="AU3" s="36">
        <f ca="1">SUMIF($B$2:$B$300,AS3,$AE$2:$AE$300)+SUMIF($B$2:$B$300,AS3,$AF$2:$AF$300)+SUMIF($B$2:$B$300,AS3,$AG$2:$AG$300)</f>
        <v>4098351.1996687148</v>
      </c>
      <c r="AV3" s="37">
        <f t="shared" ca="1" si="2"/>
        <v>0.10187818892909051</v>
      </c>
    </row>
    <row r="4" spans="1:48" ht="11.25" customHeight="1" x14ac:dyDescent="0.3">
      <c r="A4" s="4" t="s">
        <v>21</v>
      </c>
      <c r="B4" s="4" t="s">
        <v>38</v>
      </c>
      <c r="C4" s="4" t="s">
        <v>39</v>
      </c>
      <c r="D4" s="4" t="s">
        <v>37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44501</v>
      </c>
      <c r="J4" s="6">
        <v>0</v>
      </c>
      <c r="K4" s="6">
        <v>0</v>
      </c>
      <c r="L4" s="6">
        <v>20.863</v>
      </c>
      <c r="M4" s="6">
        <v>20.863</v>
      </c>
      <c r="N4" s="6">
        <v>20.863</v>
      </c>
      <c r="O4" s="6">
        <v>20.863</v>
      </c>
      <c r="P4" s="6">
        <v>0</v>
      </c>
      <c r="Q4" s="4" t="s">
        <v>26</v>
      </c>
      <c r="R4" s="4">
        <v>0</v>
      </c>
      <c r="S4" s="6">
        <v>0</v>
      </c>
      <c r="T4" s="6">
        <v>40</v>
      </c>
      <c r="U4" s="6">
        <v>65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93.48</v>
      </c>
      <c r="X4" s="6">
        <f>IF(ISERROR(VLOOKUP($U$4,'TAR FIN'!$A$1:$O$85,15,0)),0,VLOOKUP($U$4,'TAR FIN'!$A$1:$O$85,15,0))</f>
        <v>221.6</v>
      </c>
      <c r="Y4" s="6"/>
      <c r="Z4" s="6">
        <f ca="1">('TUSD BE'!$AM$12+'TUSD BF'!$AM$12+'TUSD CVA'!$AM$12)*1</f>
        <v>126.58207043299907</v>
      </c>
      <c r="AA4" s="6">
        <f>('TE BE'!$AB$6+'TE BF'!$AB$6+'TE CVA'!$AB$6)*1</f>
        <v>269.20939423802389</v>
      </c>
      <c r="AB4" s="6">
        <f>$K$4*$V$4</f>
        <v>0</v>
      </c>
      <c r="AC4" s="6">
        <f>$M$4*$W$4</f>
        <v>1950.27324</v>
      </c>
      <c r="AD4" s="6">
        <f>$O$4*$X$4</f>
        <v>4623.2407999999996</v>
      </c>
      <c r="AE4" s="6">
        <f>$K$4*$Y$4</f>
        <v>0</v>
      </c>
      <c r="AF4" s="6">
        <f ca="1">$M$4*$Z$4</f>
        <v>2640.8817354436596</v>
      </c>
      <c r="AG4" s="6">
        <f>$O$4*$AA$4</f>
        <v>5616.5155919878925</v>
      </c>
      <c r="AI4" s="35" t="s">
        <v>41</v>
      </c>
      <c r="AJ4" s="36">
        <f>SUMIF($B$2:$B$300,AI4,$AB$2:$AB$300)+SUMIF($B$2:$B$300,AI4,$AC$2:$AC$300)</f>
        <v>562997.77560000005</v>
      </c>
      <c r="AK4" s="36">
        <f ca="1">SUMIF($B$2:$B$300,AI4,$AE$2:$AE$300)+SUMIF($B$2:$B$300,AI4,$AF$2:$AF$300)</f>
        <v>631330.75652709114</v>
      </c>
      <c r="AL4" s="37">
        <f t="shared" ca="1" si="0"/>
        <v>0.1213734474426067</v>
      </c>
      <c r="AN4" s="35" t="s">
        <v>41</v>
      </c>
      <c r="AO4" s="36">
        <f>SUMIF($B$2:$B$300,AN4,$AD$2:$AD$300)</f>
        <v>269873.56500000006</v>
      </c>
      <c r="AP4" s="36">
        <f>SUMIF($B$2:$B$300,AN4,$AG$2:$AG$300)</f>
        <v>350222.30265249033</v>
      </c>
      <c r="AQ4" s="37">
        <f t="shared" si="1"/>
        <v>0.2977273363268842</v>
      </c>
      <c r="AS4" s="35" t="s">
        <v>41</v>
      </c>
      <c r="AT4" s="36">
        <f>SUMIF($B$2:$B$300,AS4,$AB$2:$AB$300)+SUMIF($B$2:$B$300,AS4,$AC$2:$AC$300)+SUMIF($B$2:$B$300,AS4,$AD$2:$AD$300)</f>
        <v>832871.34060000011</v>
      </c>
      <c r="AU4" s="36">
        <f ca="1">SUMIF($B$2:$B$300,AS4,$AE$2:$AE$300)+SUMIF($B$2:$B$300,AS4,$AF$2:$AF$300)+SUMIF($B$2:$B$300,AS4,$AG$2:$AG$300)</f>
        <v>981553.05917958147</v>
      </c>
      <c r="AV4" s="37">
        <f t="shared" ca="1" si="2"/>
        <v>0.17851703058058299</v>
      </c>
    </row>
    <row r="5" spans="1:48" ht="11.25" customHeight="1" x14ac:dyDescent="0.3">
      <c r="A5" s="4" t="s">
        <v>21</v>
      </c>
      <c r="B5" s="4" t="s">
        <v>38</v>
      </c>
      <c r="C5" s="4" t="s">
        <v>39</v>
      </c>
      <c r="D5" s="4" t="s">
        <v>37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44531</v>
      </c>
      <c r="J5" s="6">
        <v>0</v>
      </c>
      <c r="K5" s="6">
        <v>0</v>
      </c>
      <c r="L5" s="6">
        <v>18.707999999999998</v>
      </c>
      <c r="M5" s="6">
        <v>18.707999999999998</v>
      </c>
      <c r="N5" s="6">
        <v>18.707999999999998</v>
      </c>
      <c r="O5" s="6">
        <v>18.707999999999998</v>
      </c>
      <c r="P5" s="6">
        <v>0</v>
      </c>
      <c r="Q5" s="4" t="s">
        <v>26</v>
      </c>
      <c r="R5" s="4">
        <v>0</v>
      </c>
      <c r="S5" s="6">
        <v>0</v>
      </c>
      <c r="T5" s="6">
        <v>40</v>
      </c>
      <c r="U5" s="6">
        <v>65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93.48</v>
      </c>
      <c r="X5" s="6">
        <f>IF(ISERROR(VLOOKUP($U$5,'TAR FIN'!$A$1:$O$85,15,0)),0,VLOOKUP($U$5,'TAR FIN'!$A$1:$O$85,15,0))</f>
        <v>221.6</v>
      </c>
      <c r="Y5" s="6"/>
      <c r="Z5" s="6">
        <f ca="1">('TUSD BE'!$AM$12+'TUSD BF'!$AM$12+'TUSD CVA'!$AM$12)*1</f>
        <v>126.58207043299907</v>
      </c>
      <c r="AA5" s="6">
        <f>('TE BE'!$AB$6+'TE BF'!$AB$6+'TE CVA'!$AB$6)*1</f>
        <v>269.20939423802389</v>
      </c>
      <c r="AB5" s="6">
        <f>$K$5*$V$5</f>
        <v>0</v>
      </c>
      <c r="AC5" s="6">
        <f>$M$5*$W$5</f>
        <v>1748.82384</v>
      </c>
      <c r="AD5" s="6">
        <f>$O$5*$X$5</f>
        <v>4145.6927999999998</v>
      </c>
      <c r="AE5" s="6">
        <f>$K$5*$Y$5</f>
        <v>0</v>
      </c>
      <c r="AF5" s="6">
        <f ca="1">$M$5*$Z$5</f>
        <v>2368.0973736605465</v>
      </c>
      <c r="AG5" s="6">
        <f>$O$5*$AA$5</f>
        <v>5036.3693474049505</v>
      </c>
      <c r="AI5" s="35" t="s">
        <v>36</v>
      </c>
      <c r="AJ5" s="36">
        <f>SUMIF($B$2:$B$300,AI5,$AB$2:$AB$300)+SUMIF($B$2:$B$300,AI5,$AC$2:$AC$300)</f>
        <v>287489.28172439995</v>
      </c>
      <c r="AK5" s="36">
        <f ca="1">SUMIF($B$2:$B$300,AI5,$AE$2:$AE$300)+SUMIF($B$2:$B$300,AI5,$AF$2:$AF$300)</f>
        <v>307035.60567523615</v>
      </c>
      <c r="AL5" s="37">
        <f t="shared" ca="1" si="0"/>
        <v>6.7989748465037358E-2</v>
      </c>
      <c r="AN5" s="35" t="s">
        <v>36</v>
      </c>
      <c r="AO5" s="36">
        <f>SUMIF($B$2:$B$300,AN5,$AD$2:$AD$300)</f>
        <v>137814.75075199999</v>
      </c>
      <c r="AP5" s="36">
        <f>SUMIF($B$2:$B$300,AN5,$AG$2:$AG$300)</f>
        <v>170323.90027598621</v>
      </c>
      <c r="AQ5" s="37">
        <f t="shared" si="1"/>
        <v>0.23589020294704865</v>
      </c>
      <c r="AS5" s="35" t="s">
        <v>36</v>
      </c>
      <c r="AT5" s="36">
        <f>SUMIF($B$2:$B$300,AS5,$AB$2:$AB$300)+SUMIF($B$2:$B$300,AS5,$AC$2:$AC$300)+SUMIF($B$2:$B$300,AS5,$AD$2:$AD$300)</f>
        <v>425304.03247639991</v>
      </c>
      <c r="AU5" s="36">
        <f ca="1">SUMIF($B$2:$B$300,AS5,$AE$2:$AE$300)+SUMIF($B$2:$B$300,AS5,$AF$2:$AF$300)+SUMIF($B$2:$B$300,AS5,$AG$2:$AG$300)</f>
        <v>477359.50595122238</v>
      </c>
      <c r="AV5" s="37">
        <f t="shared" ca="1" si="2"/>
        <v>0.12239590857326532</v>
      </c>
    </row>
    <row r="6" spans="1:48" ht="11.25" customHeight="1" x14ac:dyDescent="0.3">
      <c r="A6" s="4" t="s">
        <v>21</v>
      </c>
      <c r="B6" s="4" t="s">
        <v>38</v>
      </c>
      <c r="C6" s="4" t="s">
        <v>39</v>
      </c>
      <c r="D6" s="4" t="s">
        <v>37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44562</v>
      </c>
      <c r="J6" s="6">
        <v>0</v>
      </c>
      <c r="K6" s="6">
        <v>0</v>
      </c>
      <c r="L6" s="6">
        <v>20.568999999999999</v>
      </c>
      <c r="M6" s="6">
        <v>20.568999999999999</v>
      </c>
      <c r="N6" s="6">
        <v>20.568999999999999</v>
      </c>
      <c r="O6" s="6">
        <v>20.568999999999999</v>
      </c>
      <c r="P6" s="6">
        <v>0</v>
      </c>
      <c r="Q6" s="4" t="s">
        <v>26</v>
      </c>
      <c r="R6" s="4">
        <v>0</v>
      </c>
      <c r="S6" s="6">
        <v>0</v>
      </c>
      <c r="T6" s="6">
        <v>40</v>
      </c>
      <c r="U6" s="6">
        <v>65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93.48</v>
      </c>
      <c r="X6" s="6">
        <f>IF(ISERROR(VLOOKUP($U$6,'TAR FIN'!$A$1:$O$85,15,0)),0,VLOOKUP($U$6,'TAR FIN'!$A$1:$O$85,15,0))</f>
        <v>221.6</v>
      </c>
      <c r="Y6" s="6"/>
      <c r="Z6" s="6">
        <f ca="1">('TUSD BE'!$AM$12+'TUSD BF'!$AM$12+'TUSD CVA'!$AM$12)*1</f>
        <v>126.58207043299907</v>
      </c>
      <c r="AA6" s="6">
        <f>('TE BE'!$AB$6+'TE BF'!$AB$6+'TE CVA'!$AB$6)*1</f>
        <v>269.20939423802389</v>
      </c>
      <c r="AB6" s="6">
        <f>$K$6*$V$6</f>
        <v>0</v>
      </c>
      <c r="AC6" s="6">
        <f>$M$6*$W$6</f>
        <v>1922.7901199999999</v>
      </c>
      <c r="AD6" s="6">
        <f>$O$6*$X$6</f>
        <v>4558.0904</v>
      </c>
      <c r="AE6" s="6">
        <f>$K$6*$Y$6</f>
        <v>0</v>
      </c>
      <c r="AF6" s="6">
        <f ca="1">$M$6*$Z$6</f>
        <v>2603.6666067363581</v>
      </c>
      <c r="AG6" s="6">
        <f>$O$6*$AA$6</f>
        <v>5537.3680300819133</v>
      </c>
      <c r="AI6" s="35" t="s">
        <v>44</v>
      </c>
      <c r="AJ6" s="36">
        <f>SUMIF($B$2:$B$300,AI6,$AB$2:$AB$300)+SUMIF($B$2:$B$300,AI6,$AC$2:$AC$300)</f>
        <v>139005.08549999999</v>
      </c>
      <c r="AK6" s="36">
        <f ca="1">SUMIF($B$2:$B$300,AI6,$AE$2:$AE$300)+SUMIF($B$2:$B$300,AI6,$AF$2:$AF$300)</f>
        <v>145927.04096434746</v>
      </c>
      <c r="AL6" s="37">
        <f t="shared" ca="1" si="0"/>
        <v>4.9796418882440685E-2</v>
      </c>
      <c r="AN6" s="35" t="s">
        <v>44</v>
      </c>
      <c r="AO6" s="36">
        <f>SUMIF($B$2:$B$300,AN6,$AD$2:$AD$300)</f>
        <v>66634.96488</v>
      </c>
      <c r="AP6" s="36">
        <f>SUMIF($B$2:$B$300,AN6,$AG$2:$AG$300)</f>
        <v>80951.076400797829</v>
      </c>
      <c r="AQ6" s="37">
        <f t="shared" si="1"/>
        <v>0.21484383681418739</v>
      </c>
      <c r="AS6" s="35" t="s">
        <v>44</v>
      </c>
      <c r="AT6" s="36">
        <f>SUMIF($B$2:$B$300,AS6,$AB$2:$AB$300)+SUMIF($B$2:$B$300,AS6,$AC$2:$AC$300)+SUMIF($B$2:$B$300,AS6,$AD$2:$AD$300)</f>
        <v>205640.05037999997</v>
      </c>
      <c r="AU6" s="36">
        <f ca="1">SUMIF($B$2:$B$300,AS6,$AE$2:$AE$300)+SUMIF($B$2:$B$300,AS6,$AF$2:$AF$300)+SUMIF($B$2:$B$300,AS6,$AG$2:$AG$300)</f>
        <v>226878.1173651453</v>
      </c>
      <c r="AV6" s="37">
        <f t="shared" ca="1" si="2"/>
        <v>0.10327787289440815</v>
      </c>
    </row>
    <row r="7" spans="1:48" ht="11.25" customHeight="1" x14ac:dyDescent="0.3">
      <c r="A7" s="4" t="s">
        <v>21</v>
      </c>
      <c r="B7" s="4" t="s">
        <v>38</v>
      </c>
      <c r="C7" s="4" t="s">
        <v>39</v>
      </c>
      <c r="D7" s="4" t="s">
        <v>37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44593</v>
      </c>
      <c r="J7" s="6">
        <v>0</v>
      </c>
      <c r="K7" s="6">
        <v>0</v>
      </c>
      <c r="L7" s="6">
        <v>20.474</v>
      </c>
      <c r="M7" s="6">
        <v>20.474</v>
      </c>
      <c r="N7" s="6">
        <v>20.474</v>
      </c>
      <c r="O7" s="6">
        <v>20.474</v>
      </c>
      <c r="P7" s="6">
        <v>0</v>
      </c>
      <c r="Q7" s="4" t="s">
        <v>26</v>
      </c>
      <c r="R7" s="4">
        <v>0</v>
      </c>
      <c r="S7" s="6">
        <v>0</v>
      </c>
      <c r="T7" s="6">
        <v>40</v>
      </c>
      <c r="U7" s="6">
        <v>65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93.48</v>
      </c>
      <c r="X7" s="6">
        <f>IF(ISERROR(VLOOKUP($U$7,'TAR FIN'!$A$1:$O$85,15,0)),0,VLOOKUP($U$7,'TAR FIN'!$A$1:$O$85,15,0))</f>
        <v>221.6</v>
      </c>
      <c r="Y7" s="6"/>
      <c r="Z7" s="6">
        <f ca="1">('TUSD BE'!$AM$12+'TUSD BF'!$AM$12+'TUSD CVA'!$AM$12)*1</f>
        <v>126.58207043299907</v>
      </c>
      <c r="AA7" s="6">
        <f>('TE BE'!$AB$6+'TE BF'!$AB$6+'TE CVA'!$AB$6)*1</f>
        <v>269.20939423802389</v>
      </c>
      <c r="AB7" s="6">
        <f>$K$7*$V$7</f>
        <v>0</v>
      </c>
      <c r="AC7" s="6">
        <f>$M$7*$W$7</f>
        <v>1913.9095200000002</v>
      </c>
      <c r="AD7" s="6">
        <f>$O$7*$X$7</f>
        <v>4537.0384000000004</v>
      </c>
      <c r="AE7" s="6">
        <f>$K$7*$Y$7</f>
        <v>0</v>
      </c>
      <c r="AF7" s="6">
        <f ca="1">$M$7*$Z$7</f>
        <v>2591.6413100452232</v>
      </c>
      <c r="AG7" s="6">
        <f>$O$7*$AA$7</f>
        <v>5511.7931376293009</v>
      </c>
      <c r="AI7" s="35" t="s">
        <v>579</v>
      </c>
      <c r="AJ7" s="36">
        <f>+$AJ$2</f>
        <v>4317075.9818355758</v>
      </c>
      <c r="AK7" s="36">
        <f ca="1">+$AK$2</f>
        <v>4973552.5691914773</v>
      </c>
      <c r="AL7" s="37">
        <f t="shared" ca="1" si="0"/>
        <v>0.15206509918242728</v>
      </c>
      <c r="AN7" s="35" t="s">
        <v>579</v>
      </c>
      <c r="AO7" s="36">
        <f>+$AO$2</f>
        <v>623705.58300799981</v>
      </c>
      <c r="AP7" s="36">
        <f>+$AP$2</f>
        <v>779667.136643067</v>
      </c>
      <c r="AQ7" s="37">
        <f t="shared" si="1"/>
        <v>0.25005636935763453</v>
      </c>
      <c r="AS7" s="35" t="s">
        <v>579</v>
      </c>
      <c r="AT7" s="36">
        <f>+$AT$2</f>
        <v>4940781.5648435755</v>
      </c>
      <c r="AU7" s="36">
        <f ca="1">+$AU$2</f>
        <v>5753219.7058345443</v>
      </c>
      <c r="AV7" s="37">
        <f t="shared" ca="1" si="2"/>
        <v>0.16443514661160497</v>
      </c>
    </row>
    <row r="8" spans="1:48" ht="11.25" customHeight="1" x14ac:dyDescent="0.3">
      <c r="A8" s="4" t="s">
        <v>21</v>
      </c>
      <c r="B8" s="4" t="s">
        <v>38</v>
      </c>
      <c r="C8" s="4" t="s">
        <v>39</v>
      </c>
      <c r="D8" s="4" t="s">
        <v>37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44621</v>
      </c>
      <c r="J8" s="6">
        <v>0</v>
      </c>
      <c r="K8" s="6">
        <v>0</v>
      </c>
      <c r="L8" s="6">
        <v>20.995000000000001</v>
      </c>
      <c r="M8" s="6">
        <v>20.995000000000001</v>
      </c>
      <c r="N8" s="6">
        <v>20.995000000000001</v>
      </c>
      <c r="O8" s="6">
        <v>20.995000000000001</v>
      </c>
      <c r="P8" s="6">
        <v>0</v>
      </c>
      <c r="Q8" s="4" t="s">
        <v>26</v>
      </c>
      <c r="R8" s="4">
        <v>0</v>
      </c>
      <c r="S8" s="6">
        <v>0</v>
      </c>
      <c r="T8" s="6">
        <v>40</v>
      </c>
      <c r="U8" s="6">
        <v>65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93.48</v>
      </c>
      <c r="X8" s="6">
        <f>IF(ISERROR(VLOOKUP($U$8,'TAR FIN'!$A$1:$O$85,15,0)),0,VLOOKUP($U$8,'TAR FIN'!$A$1:$O$85,15,0))</f>
        <v>221.6</v>
      </c>
      <c r="Y8" s="6"/>
      <c r="Z8" s="6">
        <f ca="1">('TUSD BE'!$AM$12+'TUSD BF'!$AM$12+'TUSD CVA'!$AM$12)*1</f>
        <v>126.58207043299907</v>
      </c>
      <c r="AA8" s="6">
        <f>('TE BE'!$AB$6+'TE BF'!$AB$6+'TE CVA'!$AB$6)*1</f>
        <v>269.20939423802389</v>
      </c>
      <c r="AB8" s="6">
        <f>$K$8*$V$8</f>
        <v>0</v>
      </c>
      <c r="AC8" s="6">
        <f>$M$8*$W$8</f>
        <v>1962.6126000000002</v>
      </c>
      <c r="AD8" s="6">
        <f>$O$8*$X$8</f>
        <v>4652.4920000000002</v>
      </c>
      <c r="AE8" s="6">
        <f>$K$8*$Y$8</f>
        <v>0</v>
      </c>
      <c r="AF8" s="6">
        <f ca="1">$M$8*$Z$8</f>
        <v>2657.5905687408158</v>
      </c>
      <c r="AG8" s="6">
        <f>$O$8*$AA$8</f>
        <v>5652.0512320273119</v>
      </c>
      <c r="AI8" s="35" t="s">
        <v>79</v>
      </c>
      <c r="AJ8" s="36">
        <f>+$AJ$3+$AJ$4+$AJ$5+$AJ$6</f>
        <v>3498239.8173643984</v>
      </c>
      <c r="AK8" s="36">
        <f ca="1">+$AK$3+$AK$4+$AK$5+$AK$6</f>
        <v>3711863.0123890853</v>
      </c>
      <c r="AL8" s="37">
        <f t="shared" ca="1" si="0"/>
        <v>6.106590919362187E-2</v>
      </c>
      <c r="AN8" s="35" t="s">
        <v>79</v>
      </c>
      <c r="AO8" s="36">
        <f>+$AO$3+$AO$4+$AO$5+$AO$6</f>
        <v>1684998.7155120005</v>
      </c>
      <c r="AP8" s="36">
        <f>+$AP$3+$AP$4+$AP$5+$AP$6</f>
        <v>2072278.8697755786</v>
      </c>
      <c r="AQ8" s="37">
        <f t="shared" si="1"/>
        <v>0.22984002937112025</v>
      </c>
      <c r="AS8" s="35" t="s">
        <v>79</v>
      </c>
      <c r="AT8" s="36">
        <f>+$AT$3+$AT$4+$AT$5+$AT$6</f>
        <v>5183238.5328763984</v>
      </c>
      <c r="AU8" s="36">
        <f ca="1">+$AU$3+$AU$4+$AU$5+$AU$6</f>
        <v>5784141.8821646636</v>
      </c>
      <c r="AV8" s="37">
        <f t="shared" ca="1" si="2"/>
        <v>0.11593202695126559</v>
      </c>
    </row>
    <row r="9" spans="1:48" ht="11.25" customHeight="1" x14ac:dyDescent="0.3">
      <c r="A9" s="4" t="s">
        <v>21</v>
      </c>
      <c r="B9" s="4" t="s">
        <v>38</v>
      </c>
      <c r="C9" s="4" t="s">
        <v>39</v>
      </c>
      <c r="D9" s="4" t="s">
        <v>37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44652</v>
      </c>
      <c r="J9" s="6">
        <v>0</v>
      </c>
      <c r="K9" s="6">
        <v>0</v>
      </c>
      <c r="L9" s="6">
        <v>17.364000000000001</v>
      </c>
      <c r="M9" s="6">
        <v>17.364000000000001</v>
      </c>
      <c r="N9" s="6">
        <v>17.364000000000001</v>
      </c>
      <c r="O9" s="6">
        <v>17.364000000000001</v>
      </c>
      <c r="P9" s="6">
        <v>0</v>
      </c>
      <c r="Q9" s="4" t="s">
        <v>26</v>
      </c>
      <c r="R9" s="4">
        <v>0</v>
      </c>
      <c r="S9" s="6">
        <v>0</v>
      </c>
      <c r="T9" s="6">
        <v>40</v>
      </c>
      <c r="U9" s="6">
        <v>65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93.48</v>
      </c>
      <c r="X9" s="6">
        <f>IF(ISERROR(VLOOKUP($U$9,'TAR FIN'!$A$1:$O$85,15,0)),0,VLOOKUP($U$9,'TAR FIN'!$A$1:$O$85,15,0))</f>
        <v>221.6</v>
      </c>
      <c r="Y9" s="6"/>
      <c r="Z9" s="6">
        <f ca="1">('TUSD BE'!$AM$12+'TUSD BF'!$AM$12+'TUSD CVA'!$AM$12)*1</f>
        <v>126.58207043299907</v>
      </c>
      <c r="AA9" s="6">
        <f>('TE BE'!$AB$6+'TE BF'!$AB$6+'TE CVA'!$AB$6)*1</f>
        <v>269.20939423802389</v>
      </c>
      <c r="AB9" s="6">
        <f>$K$9*$V$9</f>
        <v>0</v>
      </c>
      <c r="AC9" s="6">
        <f>$M$9*$W$9</f>
        <v>1623.1867200000002</v>
      </c>
      <c r="AD9" s="6">
        <f>$O$9*$X$9</f>
        <v>3847.8624</v>
      </c>
      <c r="AE9" s="6">
        <f>$K$9*$Y$9</f>
        <v>0</v>
      </c>
      <c r="AF9" s="6">
        <f ca="1">$M$9*$Z$9</f>
        <v>2197.9710709985961</v>
      </c>
      <c r="AG9" s="6">
        <f>$O$9*$AA$9</f>
        <v>4674.5519215490467</v>
      </c>
      <c r="AI9" s="35" t="s">
        <v>580</v>
      </c>
      <c r="AJ9" s="36">
        <f>AJ8+AJ7</f>
        <v>7815315.7991999742</v>
      </c>
      <c r="AK9" s="36">
        <f ca="1">AK8+AK7</f>
        <v>8685415.5815805625</v>
      </c>
      <c r="AL9" s="37">
        <f t="shared" ca="1" si="0"/>
        <v>0.11133264537687104</v>
      </c>
      <c r="AN9" s="35" t="s">
        <v>580</v>
      </c>
      <c r="AO9" s="36">
        <f>AO8+AO7</f>
        <v>2308704.2985200002</v>
      </c>
      <c r="AP9" s="36">
        <f>AP8+AP7</f>
        <v>2851946.0064186454</v>
      </c>
      <c r="AQ9" s="37">
        <f t="shared" si="1"/>
        <v>0.23530155345008508</v>
      </c>
      <c r="AS9" s="35" t="s">
        <v>580</v>
      </c>
      <c r="AT9" s="36">
        <f>AT8+AT7</f>
        <v>10124020.097719975</v>
      </c>
      <c r="AU9" s="36">
        <f ca="1">AU8+AU7</f>
        <v>11537361.587999208</v>
      </c>
      <c r="AV9" s="37">
        <f t="shared" ca="1" si="2"/>
        <v>0.13960279381483365</v>
      </c>
    </row>
    <row r="10" spans="1:48" ht="11.25" customHeight="1" x14ac:dyDescent="0.3">
      <c r="A10" s="4" t="s">
        <v>21</v>
      </c>
      <c r="B10" s="4" t="s">
        <v>38</v>
      </c>
      <c r="C10" s="4" t="s">
        <v>39</v>
      </c>
      <c r="D10" s="4" t="s">
        <v>37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44682</v>
      </c>
      <c r="J10" s="6">
        <v>0</v>
      </c>
      <c r="K10" s="6">
        <v>0</v>
      </c>
      <c r="L10" s="6">
        <v>22.233000000000001</v>
      </c>
      <c r="M10" s="6">
        <v>22.233000000000001</v>
      </c>
      <c r="N10" s="6">
        <v>22.233000000000001</v>
      </c>
      <c r="O10" s="6">
        <v>22.233000000000001</v>
      </c>
      <c r="P10" s="6">
        <v>0</v>
      </c>
      <c r="Q10" s="4" t="s">
        <v>26</v>
      </c>
      <c r="R10" s="4">
        <v>0</v>
      </c>
      <c r="S10" s="6">
        <v>0</v>
      </c>
      <c r="T10" s="6">
        <v>40</v>
      </c>
      <c r="U10" s="6">
        <v>65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93.48</v>
      </c>
      <c r="X10" s="6">
        <f>IF(ISERROR(VLOOKUP($U$10,'TAR FIN'!$A$1:$O$85,15,0)),0,VLOOKUP($U$10,'TAR FIN'!$A$1:$O$85,15,0))</f>
        <v>221.6</v>
      </c>
      <c r="Y10" s="6"/>
      <c r="Z10" s="6">
        <f ca="1">('TUSD BE'!$AM$12+'TUSD BF'!$AM$12+'TUSD CVA'!$AM$12)*1</f>
        <v>126.58207043299907</v>
      </c>
      <c r="AA10" s="6">
        <f>('TE BE'!$AB$6+'TE BF'!$AB$6+'TE CVA'!$AB$6)*1</f>
        <v>269.20939423802389</v>
      </c>
      <c r="AB10" s="6">
        <f>$K$10*$V$10</f>
        <v>0</v>
      </c>
      <c r="AC10" s="6">
        <f>$M$10*$W$10</f>
        <v>2078.3408400000003</v>
      </c>
      <c r="AD10" s="6">
        <f>$O$10*$X$10</f>
        <v>4926.8328000000001</v>
      </c>
      <c r="AE10" s="6">
        <f>$K$10*$Y$10</f>
        <v>0</v>
      </c>
      <c r="AF10" s="6">
        <f ca="1">$M$10*$Z$10</f>
        <v>2814.2991719368683</v>
      </c>
      <c r="AG10" s="6">
        <f>$O$10*$AA$10</f>
        <v>5985.3324620939857</v>
      </c>
    </row>
    <row r="11" spans="1:48" ht="11.25" customHeight="1" x14ac:dyDescent="0.3">
      <c r="A11" s="4" t="s">
        <v>21</v>
      </c>
      <c r="B11" s="4" t="s">
        <v>38</v>
      </c>
      <c r="C11" s="4" t="s">
        <v>39</v>
      </c>
      <c r="D11" s="4" t="s">
        <v>37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44713</v>
      </c>
      <c r="J11" s="6">
        <v>0</v>
      </c>
      <c r="K11" s="6">
        <v>0</v>
      </c>
      <c r="L11" s="6">
        <v>21.067</v>
      </c>
      <c r="M11" s="6">
        <v>21.067</v>
      </c>
      <c r="N11" s="6">
        <v>21.067</v>
      </c>
      <c r="O11" s="6">
        <v>21.067</v>
      </c>
      <c r="P11" s="6">
        <v>0</v>
      </c>
      <c r="Q11" s="4" t="s">
        <v>26</v>
      </c>
      <c r="R11" s="4">
        <v>0</v>
      </c>
      <c r="S11" s="6">
        <v>0</v>
      </c>
      <c r="T11" s="6">
        <v>40</v>
      </c>
      <c r="U11" s="6">
        <v>65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93.48</v>
      </c>
      <c r="X11" s="6">
        <f>IF(ISERROR(VLOOKUP($U$11,'TAR FIN'!$A$1:$O$85,15,0)),0,VLOOKUP($U$11,'TAR FIN'!$A$1:$O$85,15,0))</f>
        <v>221.6</v>
      </c>
      <c r="Y11" s="6"/>
      <c r="Z11" s="6">
        <f ca="1">('TUSD BE'!$AM$12+'TUSD BF'!$AM$12+'TUSD CVA'!$AM$12)*1</f>
        <v>126.58207043299907</v>
      </c>
      <c r="AA11" s="6">
        <f>('TE BE'!$AB$6+'TE BF'!$AB$6+'TE CVA'!$AB$6)*1</f>
        <v>269.20939423802389</v>
      </c>
      <c r="AB11" s="6">
        <f>$K$11*$V$11</f>
        <v>0</v>
      </c>
      <c r="AC11" s="6">
        <f>$M$11*$W$11</f>
        <v>1969.3431600000001</v>
      </c>
      <c r="AD11" s="6">
        <f>$O$11*$X$11</f>
        <v>4668.4471999999996</v>
      </c>
      <c r="AE11" s="6">
        <f>$K$11*$Y$11</f>
        <v>0</v>
      </c>
      <c r="AF11" s="6">
        <f ca="1">$M$11*$Z$11</f>
        <v>2666.7044778119916</v>
      </c>
      <c r="AG11" s="6">
        <f>$O$11*$AA$11</f>
        <v>5671.4343084124494</v>
      </c>
    </row>
    <row r="12" spans="1:48" ht="11.25" customHeight="1" x14ac:dyDescent="0.3">
      <c r="A12" s="4" t="s">
        <v>21</v>
      </c>
      <c r="B12" s="4" t="s">
        <v>38</v>
      </c>
      <c r="C12" s="4" t="s">
        <v>39</v>
      </c>
      <c r="D12" s="4" t="s">
        <v>37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44743</v>
      </c>
      <c r="J12" s="6">
        <v>0</v>
      </c>
      <c r="K12" s="6">
        <v>0</v>
      </c>
      <c r="L12" s="6">
        <v>18.992000000000001</v>
      </c>
      <c r="M12" s="6">
        <v>18.992000000000001</v>
      </c>
      <c r="N12" s="6">
        <v>18.992000000000001</v>
      </c>
      <c r="O12" s="6">
        <v>18.992000000000001</v>
      </c>
      <c r="P12" s="6">
        <v>0</v>
      </c>
      <c r="Q12" s="4" t="s">
        <v>26</v>
      </c>
      <c r="R12" s="4">
        <v>0</v>
      </c>
      <c r="S12" s="6">
        <v>0</v>
      </c>
      <c r="T12" s="6">
        <v>40</v>
      </c>
      <c r="U12" s="6">
        <v>65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93.48</v>
      </c>
      <c r="X12" s="6">
        <f>IF(ISERROR(VLOOKUP($U$12,'TAR FIN'!$A$1:$O$85,15,0)),0,VLOOKUP($U$12,'TAR FIN'!$A$1:$O$85,15,0))</f>
        <v>221.6</v>
      </c>
      <c r="Y12" s="6"/>
      <c r="Z12" s="6">
        <f ca="1">('TUSD BE'!$AM$12+'TUSD BF'!$AM$12+'TUSD CVA'!$AM$12)*1</f>
        <v>126.58207043299907</v>
      </c>
      <c r="AA12" s="6">
        <f>('TE BE'!$AB$6+'TE BF'!$AB$6+'TE CVA'!$AB$6)*1</f>
        <v>269.20939423802389</v>
      </c>
      <c r="AB12" s="6">
        <f>$K$12*$V$12</f>
        <v>0</v>
      </c>
      <c r="AC12" s="6">
        <f>$M$12*$W$12</f>
        <v>1775.3721600000001</v>
      </c>
      <c r="AD12" s="6">
        <f>$O$12*$X$12</f>
        <v>4208.6271999999999</v>
      </c>
      <c r="AE12" s="6">
        <f>$K$12*$Y$12</f>
        <v>0</v>
      </c>
      <c r="AF12" s="6">
        <f ca="1">$M$12*$Z$12</f>
        <v>2404.0466816635185</v>
      </c>
      <c r="AG12" s="6">
        <f>$O$12*$AA$12</f>
        <v>5112.8248153685499</v>
      </c>
      <c r="AU12" s="60">
        <f ca="1">AU9+SUBSIDIO!AJ12-CUSTOS!H49</f>
        <v>-1.6205012798309326E-7</v>
      </c>
    </row>
    <row r="13" spans="1:48" ht="11.25" customHeight="1" x14ac:dyDescent="0.3">
      <c r="A13" s="4" t="s">
        <v>21</v>
      </c>
      <c r="B13" s="4" t="s">
        <v>38</v>
      </c>
      <c r="C13" s="4" t="s">
        <v>39</v>
      </c>
      <c r="D13" s="4" t="s">
        <v>37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44774</v>
      </c>
      <c r="J13" s="6">
        <v>0</v>
      </c>
      <c r="K13" s="6">
        <v>0</v>
      </c>
      <c r="L13" s="6">
        <v>23.460999999999999</v>
      </c>
      <c r="M13" s="6">
        <v>23.460999999999999</v>
      </c>
      <c r="N13" s="6">
        <v>23.460999999999999</v>
      </c>
      <c r="O13" s="6">
        <v>23.460999999999999</v>
      </c>
      <c r="P13" s="6">
        <v>0</v>
      </c>
      <c r="Q13" s="4" t="s">
        <v>26</v>
      </c>
      <c r="R13" s="4">
        <v>0</v>
      </c>
      <c r="S13" s="6">
        <v>0</v>
      </c>
      <c r="T13" s="6">
        <v>40</v>
      </c>
      <c r="U13" s="6">
        <v>65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93.48</v>
      </c>
      <c r="X13" s="6">
        <f>IF(ISERROR(VLOOKUP($U$13,'TAR FIN'!$A$1:$O$85,15,0)),0,VLOOKUP($U$13,'TAR FIN'!$A$1:$O$85,15,0))</f>
        <v>221.6</v>
      </c>
      <c r="Y13" s="6"/>
      <c r="Z13" s="6">
        <f ca="1">('TUSD BE'!$AM$12+'TUSD BF'!$AM$12+'TUSD CVA'!$AM$12)*1</f>
        <v>126.58207043299907</v>
      </c>
      <c r="AA13" s="6">
        <f>('TE BE'!$AB$6+'TE BF'!$AB$6+'TE CVA'!$AB$6)*1</f>
        <v>269.20939423802389</v>
      </c>
      <c r="AB13" s="6">
        <f>$K$13*$V$13</f>
        <v>0</v>
      </c>
      <c r="AC13" s="6">
        <f>$M$13*$W$13</f>
        <v>2193.1342799999998</v>
      </c>
      <c r="AD13" s="6">
        <f>$O$13*$X$13</f>
        <v>5198.9575999999997</v>
      </c>
      <c r="AE13" s="6">
        <f>$K$13*$Y$13</f>
        <v>0</v>
      </c>
      <c r="AF13" s="6">
        <f ca="1">$M$13*$Z$13</f>
        <v>2969.7419544285913</v>
      </c>
      <c r="AG13" s="6">
        <f>$O$13*$AA$13</f>
        <v>6315.9215982182777</v>
      </c>
    </row>
    <row r="14" spans="1:48" ht="11.25" customHeight="1" x14ac:dyDescent="0.3">
      <c r="A14" s="4" t="s">
        <v>21</v>
      </c>
      <c r="B14" s="4" t="s">
        <v>38</v>
      </c>
      <c r="C14" s="4" t="s">
        <v>39</v>
      </c>
      <c r="D14" s="4" t="s">
        <v>37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44440</v>
      </c>
      <c r="J14" s="6">
        <v>110</v>
      </c>
      <c r="K14" s="6">
        <v>110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26</v>
      </c>
      <c r="R14" s="4">
        <v>0</v>
      </c>
      <c r="S14" s="6">
        <v>47</v>
      </c>
      <c r="T14" s="6">
        <v>0</v>
      </c>
      <c r="U14" s="6">
        <v>0</v>
      </c>
      <c r="V14" s="6">
        <f>IF(ISERROR(VLOOKUP($S$14,'TAR FIN'!$A$1:$O$85,15,0)),0,VLOOKUP($S$14,'TAR FIN'!$A$1:$O$85,15,0))</f>
        <v>29.84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32.209574164280724</v>
      </c>
      <c r="Z14" s="6"/>
      <c r="AA14" s="6"/>
      <c r="AB14" s="6">
        <f>$K$14*$V$14</f>
        <v>3282.4</v>
      </c>
      <c r="AC14" s="6">
        <f>$M$14*$W$14</f>
        <v>0</v>
      </c>
      <c r="AD14" s="6">
        <f>$O$14*$X$14</f>
        <v>0</v>
      </c>
      <c r="AE14" s="6">
        <f ca="1">$K$14*$Y$14</f>
        <v>3543.0531580708798</v>
      </c>
      <c r="AF14" s="6">
        <f>$M$14*$Z$14</f>
        <v>0</v>
      </c>
      <c r="AG14" s="6">
        <f>$O$14*$AA$14</f>
        <v>0</v>
      </c>
    </row>
    <row r="15" spans="1:48" ht="11.25" customHeight="1" x14ac:dyDescent="0.3">
      <c r="A15" s="4" t="s">
        <v>21</v>
      </c>
      <c r="B15" s="4" t="s">
        <v>38</v>
      </c>
      <c r="C15" s="4" t="s">
        <v>39</v>
      </c>
      <c r="D15" s="4" t="s">
        <v>37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44470</v>
      </c>
      <c r="J15" s="6">
        <v>200</v>
      </c>
      <c r="K15" s="6">
        <v>200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26</v>
      </c>
      <c r="R15" s="4">
        <v>0</v>
      </c>
      <c r="S15" s="6">
        <v>47</v>
      </c>
      <c r="T15" s="6">
        <v>0</v>
      </c>
      <c r="U15" s="6">
        <v>0</v>
      </c>
      <c r="V15" s="6">
        <f>IF(ISERROR(VLOOKUP($S$15,'TAR FIN'!$A$1:$O$85,15,0)),0,VLOOKUP($S$15,'TAR FIN'!$A$1:$O$85,15,0))</f>
        <v>29.84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32.209574164280724</v>
      </c>
      <c r="Z15" s="6"/>
      <c r="AA15" s="6"/>
      <c r="AB15" s="6">
        <f>$K$15*$V$15</f>
        <v>5968</v>
      </c>
      <c r="AC15" s="6">
        <f>$M$15*$W$15</f>
        <v>0</v>
      </c>
      <c r="AD15" s="6">
        <f>$O$15*$X$15</f>
        <v>0</v>
      </c>
      <c r="AE15" s="6">
        <f ca="1">$K$15*$Y$15</f>
        <v>6441.914832856145</v>
      </c>
      <c r="AF15" s="6">
        <f>$M$15*$Z$15</f>
        <v>0</v>
      </c>
      <c r="AG15" s="6">
        <f>$O$15*$AA$15</f>
        <v>0</v>
      </c>
    </row>
    <row r="16" spans="1:48" ht="11.25" customHeight="1" x14ac:dyDescent="0.3">
      <c r="A16" s="4" t="s">
        <v>21</v>
      </c>
      <c r="B16" s="4" t="s">
        <v>38</v>
      </c>
      <c r="C16" s="4" t="s">
        <v>39</v>
      </c>
      <c r="D16" s="4" t="s">
        <v>37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44501</v>
      </c>
      <c r="J16" s="6">
        <v>200</v>
      </c>
      <c r="K16" s="6">
        <v>200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26</v>
      </c>
      <c r="R16" s="4">
        <v>0</v>
      </c>
      <c r="S16" s="6">
        <v>47</v>
      </c>
      <c r="T16" s="6">
        <v>0</v>
      </c>
      <c r="U16" s="6">
        <v>0</v>
      </c>
      <c r="V16" s="6">
        <f>IF(ISERROR(VLOOKUP($S$16,'TAR FIN'!$A$1:$O$85,15,0)),0,VLOOKUP($S$16,'TAR FIN'!$A$1:$O$85,15,0))</f>
        <v>29.84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32.209574164280724</v>
      </c>
      <c r="Z16" s="6"/>
      <c r="AA16" s="6"/>
      <c r="AB16" s="6">
        <f>$K$16*$V$16</f>
        <v>5968</v>
      </c>
      <c r="AC16" s="6">
        <f>$M$16*$W$16</f>
        <v>0</v>
      </c>
      <c r="AD16" s="6">
        <f>$O$16*$X$16</f>
        <v>0</v>
      </c>
      <c r="AE16" s="6">
        <f ca="1">$K$16*$Y$16</f>
        <v>6441.914832856145</v>
      </c>
      <c r="AF16" s="6">
        <f>$M$16*$Z$16</f>
        <v>0</v>
      </c>
      <c r="AG16" s="6">
        <f>$O$16*$AA$16</f>
        <v>0</v>
      </c>
    </row>
    <row r="17" spans="1:33" ht="11.25" customHeight="1" x14ac:dyDescent="0.3">
      <c r="A17" s="4" t="s">
        <v>21</v>
      </c>
      <c r="B17" s="4" t="s">
        <v>38</v>
      </c>
      <c r="C17" s="4" t="s">
        <v>39</v>
      </c>
      <c r="D17" s="4" t="s">
        <v>37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44531</v>
      </c>
      <c r="J17" s="6">
        <v>200</v>
      </c>
      <c r="K17" s="6">
        <v>200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26</v>
      </c>
      <c r="R17" s="4">
        <v>0</v>
      </c>
      <c r="S17" s="6">
        <v>47</v>
      </c>
      <c r="T17" s="6">
        <v>0</v>
      </c>
      <c r="U17" s="6">
        <v>0</v>
      </c>
      <c r="V17" s="6">
        <f>IF(ISERROR(VLOOKUP($S$17,'TAR FIN'!$A$1:$O$85,15,0)),0,VLOOKUP($S$17,'TAR FIN'!$A$1:$O$85,15,0))</f>
        <v>29.84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32.209574164280724</v>
      </c>
      <c r="Z17" s="6"/>
      <c r="AA17" s="6"/>
      <c r="AB17" s="6">
        <f>$K$17*$V$17</f>
        <v>5968</v>
      </c>
      <c r="AC17" s="6">
        <f>$M$17*$W$17</f>
        <v>0</v>
      </c>
      <c r="AD17" s="6">
        <f>$O$17*$X$17</f>
        <v>0</v>
      </c>
      <c r="AE17" s="6">
        <f ca="1">$K$17*$Y$17</f>
        <v>6441.914832856145</v>
      </c>
      <c r="AF17" s="6">
        <f>$M$17*$Z$17</f>
        <v>0</v>
      </c>
      <c r="AG17" s="6">
        <f>$O$17*$AA$17</f>
        <v>0</v>
      </c>
    </row>
    <row r="18" spans="1:33" ht="11.25" customHeight="1" x14ac:dyDescent="0.3">
      <c r="A18" s="4" t="s">
        <v>21</v>
      </c>
      <c r="B18" s="4" t="s">
        <v>38</v>
      </c>
      <c r="C18" s="4" t="s">
        <v>39</v>
      </c>
      <c r="D18" s="4" t="s">
        <v>37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44562</v>
      </c>
      <c r="J18" s="6">
        <v>200</v>
      </c>
      <c r="K18" s="6">
        <v>200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6">
        <v>47</v>
      </c>
      <c r="T18" s="6">
        <v>0</v>
      </c>
      <c r="U18" s="6">
        <v>0</v>
      </c>
      <c r="V18" s="6">
        <f>IF(ISERROR(VLOOKUP($S$18,'TAR FIN'!$A$1:$O$85,15,0)),0,VLOOKUP($S$18,'TAR FIN'!$A$1:$O$85,15,0))</f>
        <v>29.84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32.209574164280724</v>
      </c>
      <c r="Z18" s="6"/>
      <c r="AA18" s="6"/>
      <c r="AB18" s="6">
        <f>$K$18*$V$18</f>
        <v>5968</v>
      </c>
      <c r="AC18" s="6">
        <f>$M$18*$W$18</f>
        <v>0</v>
      </c>
      <c r="AD18" s="6">
        <f>$O$18*$X$18</f>
        <v>0</v>
      </c>
      <c r="AE18" s="6">
        <f ca="1">$K$18*$Y$18</f>
        <v>6441.914832856145</v>
      </c>
      <c r="AF18" s="6">
        <f>$M$18*$Z$18</f>
        <v>0</v>
      </c>
      <c r="AG18" s="6">
        <f>$O$18*$AA$18</f>
        <v>0</v>
      </c>
    </row>
    <row r="19" spans="1:33" ht="11.25" customHeight="1" x14ac:dyDescent="0.3">
      <c r="A19" s="4" t="s">
        <v>21</v>
      </c>
      <c r="B19" s="4" t="s">
        <v>38</v>
      </c>
      <c r="C19" s="4" t="s">
        <v>39</v>
      </c>
      <c r="D19" s="4" t="s">
        <v>37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44593</v>
      </c>
      <c r="J19" s="6">
        <v>206</v>
      </c>
      <c r="K19" s="6">
        <v>206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6">
        <v>47</v>
      </c>
      <c r="T19" s="6">
        <v>0</v>
      </c>
      <c r="U19" s="6">
        <v>0</v>
      </c>
      <c r="V19" s="6">
        <f>IF(ISERROR(VLOOKUP($S$19,'TAR FIN'!$A$1:$O$85,15,0)),0,VLOOKUP($S$19,'TAR FIN'!$A$1:$O$85,15,0))</f>
        <v>29.84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32.209574164280724</v>
      </c>
      <c r="Z19" s="6"/>
      <c r="AA19" s="6"/>
      <c r="AB19" s="6">
        <f>$K$19*$V$19</f>
        <v>6147.04</v>
      </c>
      <c r="AC19" s="6">
        <f>$M$19*$W$19</f>
        <v>0</v>
      </c>
      <c r="AD19" s="6">
        <f>$O$19*$X$19</f>
        <v>0</v>
      </c>
      <c r="AE19" s="6">
        <f ca="1">$K$19*$Y$19</f>
        <v>6635.1722778418289</v>
      </c>
      <c r="AF19" s="6">
        <f>$M$19*$Z$19</f>
        <v>0</v>
      </c>
      <c r="AG19" s="6">
        <f>$O$19*$AA$19</f>
        <v>0</v>
      </c>
    </row>
    <row r="20" spans="1:33" ht="11.25" customHeight="1" x14ac:dyDescent="0.3">
      <c r="A20" s="4" t="s">
        <v>21</v>
      </c>
      <c r="B20" s="4" t="s">
        <v>38</v>
      </c>
      <c r="C20" s="4" t="s">
        <v>39</v>
      </c>
      <c r="D20" s="4" t="s">
        <v>37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44621</v>
      </c>
      <c r="J20" s="6">
        <v>200</v>
      </c>
      <c r="K20" s="6">
        <v>200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6">
        <v>47</v>
      </c>
      <c r="T20" s="6">
        <v>0</v>
      </c>
      <c r="U20" s="6">
        <v>0</v>
      </c>
      <c r="V20" s="6">
        <f>IF(ISERROR(VLOOKUP($S$20,'TAR FIN'!$A$1:$O$85,15,0)),0,VLOOKUP($S$20,'TAR FIN'!$A$1:$O$85,15,0))</f>
        <v>29.84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32.209574164280724</v>
      </c>
      <c r="Z20" s="6"/>
      <c r="AA20" s="6"/>
      <c r="AB20" s="6">
        <f>$K$20*$V$20</f>
        <v>5968</v>
      </c>
      <c r="AC20" s="6">
        <f>$M$20*$W$20</f>
        <v>0</v>
      </c>
      <c r="AD20" s="6">
        <f>$O$20*$X$20</f>
        <v>0</v>
      </c>
      <c r="AE20" s="6">
        <f ca="1">$K$20*$Y$20</f>
        <v>6441.914832856145</v>
      </c>
      <c r="AF20" s="6">
        <f>$M$20*$Z$20</f>
        <v>0</v>
      </c>
      <c r="AG20" s="6">
        <f>$O$20*$AA$20</f>
        <v>0</v>
      </c>
    </row>
    <row r="21" spans="1:33" ht="11.25" customHeight="1" x14ac:dyDescent="0.3">
      <c r="A21" s="4" t="s">
        <v>21</v>
      </c>
      <c r="B21" s="4" t="s">
        <v>38</v>
      </c>
      <c r="C21" s="4" t="s">
        <v>39</v>
      </c>
      <c r="D21" s="4" t="s">
        <v>37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44652</v>
      </c>
      <c r="J21" s="6">
        <v>200</v>
      </c>
      <c r="K21" s="6">
        <v>200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6">
        <v>47</v>
      </c>
      <c r="T21" s="6">
        <v>0</v>
      </c>
      <c r="U21" s="6">
        <v>0</v>
      </c>
      <c r="V21" s="6">
        <f>IF(ISERROR(VLOOKUP($S$21,'TAR FIN'!$A$1:$O$85,15,0)),0,VLOOKUP($S$21,'TAR FIN'!$A$1:$O$85,15,0))</f>
        <v>29.84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32.209574164280724</v>
      </c>
      <c r="Z21" s="6"/>
      <c r="AA21" s="6"/>
      <c r="AB21" s="6">
        <f>$K$21*$V$21</f>
        <v>5968</v>
      </c>
      <c r="AC21" s="6">
        <f>$M$21*$W$21</f>
        <v>0</v>
      </c>
      <c r="AD21" s="6">
        <f>$O$21*$X$21</f>
        <v>0</v>
      </c>
      <c r="AE21" s="6">
        <f ca="1">$K$21*$Y$21</f>
        <v>6441.914832856145</v>
      </c>
      <c r="AF21" s="6">
        <f>$M$21*$Z$21</f>
        <v>0</v>
      </c>
      <c r="AG21" s="6">
        <f>$O$21*$AA$21</f>
        <v>0</v>
      </c>
    </row>
    <row r="22" spans="1:33" ht="11.25" customHeight="1" x14ac:dyDescent="0.3">
      <c r="A22" s="4" t="s">
        <v>21</v>
      </c>
      <c r="B22" s="4" t="s">
        <v>38</v>
      </c>
      <c r="C22" s="4" t="s">
        <v>39</v>
      </c>
      <c r="D22" s="4" t="s">
        <v>37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44682</v>
      </c>
      <c r="J22" s="6">
        <v>200</v>
      </c>
      <c r="K22" s="6">
        <v>200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6">
        <v>47</v>
      </c>
      <c r="T22" s="6">
        <v>0</v>
      </c>
      <c r="U22" s="6">
        <v>0</v>
      </c>
      <c r="V22" s="6">
        <f>IF(ISERROR(VLOOKUP($S$22,'TAR FIN'!$A$1:$O$85,15,0)),0,VLOOKUP($S$22,'TAR FIN'!$A$1:$O$85,15,0))</f>
        <v>29.84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32.209574164280724</v>
      </c>
      <c r="Z22" s="6"/>
      <c r="AA22" s="6"/>
      <c r="AB22" s="6">
        <f>$K$22*$V$22</f>
        <v>5968</v>
      </c>
      <c r="AC22" s="6">
        <f>$M$22*$W$22</f>
        <v>0</v>
      </c>
      <c r="AD22" s="6">
        <f>$O$22*$X$22</f>
        <v>0</v>
      </c>
      <c r="AE22" s="6">
        <f ca="1">$K$22*$Y$22</f>
        <v>6441.914832856145</v>
      </c>
      <c r="AF22" s="6">
        <f>$M$22*$Z$22</f>
        <v>0</v>
      </c>
      <c r="AG22" s="6">
        <f>$O$22*$AA$22</f>
        <v>0</v>
      </c>
    </row>
    <row r="23" spans="1:33" ht="11.25" customHeight="1" x14ac:dyDescent="0.3">
      <c r="A23" s="4" t="s">
        <v>21</v>
      </c>
      <c r="B23" s="4" t="s">
        <v>38</v>
      </c>
      <c r="C23" s="4" t="s">
        <v>39</v>
      </c>
      <c r="D23" s="4" t="s">
        <v>37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44713</v>
      </c>
      <c r="J23" s="6">
        <v>200</v>
      </c>
      <c r="K23" s="6">
        <v>200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6">
        <v>47</v>
      </c>
      <c r="T23" s="6">
        <v>0</v>
      </c>
      <c r="U23" s="6">
        <v>0</v>
      </c>
      <c r="V23" s="6">
        <f>IF(ISERROR(VLOOKUP($S$23,'TAR FIN'!$A$1:$O$85,15,0)),0,VLOOKUP($S$23,'TAR FIN'!$A$1:$O$85,15,0))</f>
        <v>29.84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32.209574164280724</v>
      </c>
      <c r="Z23" s="6"/>
      <c r="AA23" s="6"/>
      <c r="AB23" s="6">
        <f>$K$23*$V$23</f>
        <v>5968</v>
      </c>
      <c r="AC23" s="6">
        <f>$M$23*$W$23</f>
        <v>0</v>
      </c>
      <c r="AD23" s="6">
        <f>$O$23*$X$23</f>
        <v>0</v>
      </c>
      <c r="AE23" s="6">
        <f ca="1">$K$23*$Y$23</f>
        <v>6441.914832856145</v>
      </c>
      <c r="AF23" s="6">
        <f>$M$23*$Z$23</f>
        <v>0</v>
      </c>
      <c r="AG23" s="6">
        <f>$O$23*$AA$23</f>
        <v>0</v>
      </c>
    </row>
    <row r="24" spans="1:33" ht="11.25" customHeight="1" x14ac:dyDescent="0.3">
      <c r="A24" s="4" t="s">
        <v>21</v>
      </c>
      <c r="B24" s="4" t="s">
        <v>38</v>
      </c>
      <c r="C24" s="4" t="s">
        <v>39</v>
      </c>
      <c r="D24" s="4" t="s">
        <v>37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44743</v>
      </c>
      <c r="J24" s="6">
        <v>200</v>
      </c>
      <c r="K24" s="6">
        <v>200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6">
        <v>47</v>
      </c>
      <c r="T24" s="6">
        <v>0</v>
      </c>
      <c r="U24" s="6">
        <v>0</v>
      </c>
      <c r="V24" s="6">
        <f>IF(ISERROR(VLOOKUP($S$24,'TAR FIN'!$A$1:$O$85,15,0)),0,VLOOKUP($S$24,'TAR FIN'!$A$1:$O$85,15,0))</f>
        <v>29.84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32.209574164280724</v>
      </c>
      <c r="Z24" s="6"/>
      <c r="AA24" s="6"/>
      <c r="AB24" s="6">
        <f>$K$24*$V$24</f>
        <v>5968</v>
      </c>
      <c r="AC24" s="6">
        <f>$M$24*$W$24</f>
        <v>0</v>
      </c>
      <c r="AD24" s="6">
        <f>$O$24*$X$24</f>
        <v>0</v>
      </c>
      <c r="AE24" s="6">
        <f ca="1">$K$24*$Y$24</f>
        <v>6441.914832856145</v>
      </c>
      <c r="AF24" s="6">
        <f>$M$24*$Z$24</f>
        <v>0</v>
      </c>
      <c r="AG24" s="6">
        <f>$O$24*$AA$24</f>
        <v>0</v>
      </c>
    </row>
    <row r="25" spans="1:33" ht="11.25" customHeight="1" x14ac:dyDescent="0.3">
      <c r="A25" s="4" t="s">
        <v>21</v>
      </c>
      <c r="B25" s="4" t="s">
        <v>38</v>
      </c>
      <c r="C25" s="4" t="s">
        <v>39</v>
      </c>
      <c r="D25" s="4" t="s">
        <v>37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44774</v>
      </c>
      <c r="J25" s="6">
        <v>200</v>
      </c>
      <c r="K25" s="6">
        <v>200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6">
        <v>47</v>
      </c>
      <c r="T25" s="6">
        <v>0</v>
      </c>
      <c r="U25" s="6">
        <v>0</v>
      </c>
      <c r="V25" s="6">
        <f>IF(ISERROR(VLOOKUP($S$25,'TAR FIN'!$A$1:$O$85,15,0)),0,VLOOKUP($S$25,'TAR FIN'!$A$1:$O$85,15,0))</f>
        <v>29.84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32.209574164280724</v>
      </c>
      <c r="Z25" s="6"/>
      <c r="AA25" s="6"/>
      <c r="AB25" s="6">
        <f>$K$25*$V$25</f>
        <v>5968</v>
      </c>
      <c r="AC25" s="6">
        <f>$M$25*$W$25</f>
        <v>0</v>
      </c>
      <c r="AD25" s="6">
        <f>$O$25*$X$25</f>
        <v>0</v>
      </c>
      <c r="AE25" s="6">
        <f ca="1">$K$25*$Y$25</f>
        <v>6441.914832856145</v>
      </c>
      <c r="AF25" s="6">
        <f>$M$25*$Z$25</f>
        <v>0</v>
      </c>
      <c r="AG25" s="6">
        <f>$O$25*$AA$25</f>
        <v>0</v>
      </c>
    </row>
    <row r="26" spans="1:33" ht="11.25" customHeight="1" x14ac:dyDescent="0.3">
      <c r="A26" s="4" t="s">
        <v>21</v>
      </c>
      <c r="B26" s="4" t="s">
        <v>38</v>
      </c>
      <c r="C26" s="4" t="s">
        <v>39</v>
      </c>
      <c r="D26" s="4" t="s">
        <v>37</v>
      </c>
      <c r="E26" s="4" t="s">
        <v>25</v>
      </c>
      <c r="F26" s="4" t="s">
        <v>25</v>
      </c>
      <c r="G26" s="4" t="s">
        <v>25</v>
      </c>
      <c r="H26" s="4" t="s">
        <v>40</v>
      </c>
      <c r="I26" s="5">
        <v>44440</v>
      </c>
      <c r="J26" s="6">
        <v>0</v>
      </c>
      <c r="K26" s="6">
        <v>0</v>
      </c>
      <c r="L26" s="6">
        <v>0.94599999999999995</v>
      </c>
      <c r="M26" s="6">
        <v>0.94599999999999995</v>
      </c>
      <c r="N26" s="6">
        <v>0.94599999999999995</v>
      </c>
      <c r="O26" s="6">
        <v>0.94599999999999995</v>
      </c>
      <c r="P26" s="6">
        <v>0</v>
      </c>
      <c r="Q26" s="4" t="s">
        <v>26</v>
      </c>
      <c r="R26" s="4">
        <v>0</v>
      </c>
      <c r="S26" s="6">
        <v>0</v>
      </c>
      <c r="T26" s="6">
        <v>35</v>
      </c>
      <c r="U26" s="6">
        <v>79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2389.5</v>
      </c>
      <c r="X26" s="6">
        <f>IF(ISERROR(VLOOKUP($U$26,'TAR FIN'!$A$1:$O$85,15,0)),0,VLOOKUP($U$26,'TAR FIN'!$A$1:$O$85,15,0))</f>
        <v>221.6</v>
      </c>
      <c r="Y26" s="6"/>
      <c r="Z26" s="6">
        <f ca="1">('TUSD BE'!$AM$11+'TUSD BF'!$AM$11+'TUSD CVA'!$AM$11)*1</f>
        <v>2536.2721730427174</v>
      </c>
      <c r="AA26" s="6">
        <f>('TE BE'!$AB$5+'TE BF'!$AB$5+'TE CVA'!$AB$5)*1</f>
        <v>269.20939423802389</v>
      </c>
      <c r="AB26" s="6">
        <f>$K$26*$V$26</f>
        <v>0</v>
      </c>
      <c r="AC26" s="6">
        <f>$M$26*$W$26</f>
        <v>2260.4670000000001</v>
      </c>
      <c r="AD26" s="6">
        <f>$O$26*$X$26</f>
        <v>209.63359999999997</v>
      </c>
      <c r="AE26" s="6">
        <f>$K$26*$Y$26</f>
        <v>0</v>
      </c>
      <c r="AF26" s="6">
        <f ca="1">$M$26*$Z$26</f>
        <v>2399.3134756984105</v>
      </c>
      <c r="AG26" s="6">
        <f>$O$26*$AA$26</f>
        <v>254.67208694917059</v>
      </c>
    </row>
    <row r="27" spans="1:33" ht="11.25" customHeight="1" x14ac:dyDescent="0.3">
      <c r="A27" s="4" t="s">
        <v>21</v>
      </c>
      <c r="B27" s="4" t="s">
        <v>38</v>
      </c>
      <c r="C27" s="4" t="s">
        <v>39</v>
      </c>
      <c r="D27" s="4" t="s">
        <v>37</v>
      </c>
      <c r="E27" s="4" t="s">
        <v>25</v>
      </c>
      <c r="F27" s="4" t="s">
        <v>25</v>
      </c>
      <c r="G27" s="4" t="s">
        <v>25</v>
      </c>
      <c r="H27" s="4" t="s">
        <v>40</v>
      </c>
      <c r="I27" s="5">
        <v>44470</v>
      </c>
      <c r="J27" s="6">
        <v>0</v>
      </c>
      <c r="K27" s="6">
        <v>0</v>
      </c>
      <c r="L27" s="6">
        <v>1.093</v>
      </c>
      <c r="M27" s="6">
        <v>1.093</v>
      </c>
      <c r="N27" s="6">
        <v>1.093</v>
      </c>
      <c r="O27" s="6">
        <v>1.093</v>
      </c>
      <c r="P27" s="6">
        <v>0</v>
      </c>
      <c r="Q27" s="4" t="s">
        <v>26</v>
      </c>
      <c r="R27" s="4">
        <v>0</v>
      </c>
      <c r="S27" s="6">
        <v>0</v>
      </c>
      <c r="T27" s="6">
        <v>35</v>
      </c>
      <c r="U27" s="6">
        <v>79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2389.5</v>
      </c>
      <c r="X27" s="6">
        <f>IF(ISERROR(VLOOKUP($U$27,'TAR FIN'!$A$1:$O$85,15,0)),0,VLOOKUP($U$27,'TAR FIN'!$A$1:$O$85,15,0))</f>
        <v>221.6</v>
      </c>
      <c r="Y27" s="6"/>
      <c r="Z27" s="6">
        <f ca="1">('TUSD BE'!$AM$11+'TUSD BF'!$AM$11+'TUSD CVA'!$AM$11)*1</f>
        <v>2536.2721730427174</v>
      </c>
      <c r="AA27" s="6">
        <f>('TE BE'!$AB$5+'TE BF'!$AB$5+'TE CVA'!$AB$5)*1</f>
        <v>269.20939423802389</v>
      </c>
      <c r="AB27" s="6">
        <f>$K$27*$V$27</f>
        <v>0</v>
      </c>
      <c r="AC27" s="6">
        <f>$M$27*$W$27</f>
        <v>2611.7235000000001</v>
      </c>
      <c r="AD27" s="6">
        <f>$O$27*$X$27</f>
        <v>242.2088</v>
      </c>
      <c r="AE27" s="6">
        <f>$K$27*$Y$27</f>
        <v>0</v>
      </c>
      <c r="AF27" s="6">
        <f ca="1">$M$27*$Z$27</f>
        <v>2772.1454851356903</v>
      </c>
      <c r="AG27" s="6">
        <f>$O$27*$AA$27</f>
        <v>294.24586790216011</v>
      </c>
    </row>
    <row r="28" spans="1:33" ht="11.25" customHeight="1" x14ac:dyDescent="0.3">
      <c r="A28" s="4" t="s">
        <v>21</v>
      </c>
      <c r="B28" s="4" t="s">
        <v>38</v>
      </c>
      <c r="C28" s="4" t="s">
        <v>39</v>
      </c>
      <c r="D28" s="4" t="s">
        <v>37</v>
      </c>
      <c r="E28" s="4" t="s">
        <v>25</v>
      </c>
      <c r="F28" s="4" t="s">
        <v>25</v>
      </c>
      <c r="G28" s="4" t="s">
        <v>25</v>
      </c>
      <c r="H28" s="4" t="s">
        <v>40</v>
      </c>
      <c r="I28" s="5">
        <v>44501</v>
      </c>
      <c r="J28" s="6">
        <v>0</v>
      </c>
      <c r="K28" s="6">
        <v>0</v>
      </c>
      <c r="L28" s="6">
        <v>0.90100000000000002</v>
      </c>
      <c r="M28" s="6">
        <v>0.90100000000000002</v>
      </c>
      <c r="N28" s="6">
        <v>0.90100000000000002</v>
      </c>
      <c r="O28" s="6">
        <v>0.90100000000000002</v>
      </c>
      <c r="P28" s="6">
        <v>0</v>
      </c>
      <c r="Q28" s="4" t="s">
        <v>26</v>
      </c>
      <c r="R28" s="4">
        <v>0</v>
      </c>
      <c r="S28" s="6">
        <v>0</v>
      </c>
      <c r="T28" s="6">
        <v>35</v>
      </c>
      <c r="U28" s="6">
        <v>79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2389.5</v>
      </c>
      <c r="X28" s="6">
        <f>IF(ISERROR(VLOOKUP($U$28,'TAR FIN'!$A$1:$O$85,15,0)),0,VLOOKUP($U$28,'TAR FIN'!$A$1:$O$85,15,0))</f>
        <v>221.6</v>
      </c>
      <c r="Y28" s="6"/>
      <c r="Z28" s="6">
        <f ca="1">('TUSD BE'!$AM$11+'TUSD BF'!$AM$11+'TUSD CVA'!$AM$11)*1</f>
        <v>2536.2721730427174</v>
      </c>
      <c r="AA28" s="6">
        <f>('TE BE'!$AB$5+'TE BF'!$AB$5+'TE CVA'!$AB$5)*1</f>
        <v>269.20939423802389</v>
      </c>
      <c r="AB28" s="6">
        <f>$K$28*$V$28</f>
        <v>0</v>
      </c>
      <c r="AC28" s="6">
        <f>$M$28*$W$28</f>
        <v>2152.9395</v>
      </c>
      <c r="AD28" s="6">
        <f>$O$28*$X$28</f>
        <v>199.66159999999999</v>
      </c>
      <c r="AE28" s="6">
        <f>$K$28*$Y$28</f>
        <v>0</v>
      </c>
      <c r="AF28" s="6">
        <f ca="1">$M$28*$Z$28</f>
        <v>2285.1812279114883</v>
      </c>
      <c r="AG28" s="6">
        <f>$O$28*$AA$28</f>
        <v>242.55766420845953</v>
      </c>
    </row>
    <row r="29" spans="1:33" ht="11.25" customHeight="1" x14ac:dyDescent="0.3">
      <c r="A29" s="4" t="s">
        <v>21</v>
      </c>
      <c r="B29" s="4" t="s">
        <v>38</v>
      </c>
      <c r="C29" s="4" t="s">
        <v>39</v>
      </c>
      <c r="D29" s="4" t="s">
        <v>37</v>
      </c>
      <c r="E29" s="4" t="s">
        <v>25</v>
      </c>
      <c r="F29" s="4" t="s">
        <v>25</v>
      </c>
      <c r="G29" s="4" t="s">
        <v>25</v>
      </c>
      <c r="H29" s="4" t="s">
        <v>40</v>
      </c>
      <c r="I29" s="5">
        <v>44531</v>
      </c>
      <c r="J29" s="6">
        <v>0</v>
      </c>
      <c r="K29" s="6">
        <v>0</v>
      </c>
      <c r="L29" s="6">
        <v>1.032</v>
      </c>
      <c r="M29" s="6">
        <v>1.032</v>
      </c>
      <c r="N29" s="6">
        <v>1.032</v>
      </c>
      <c r="O29" s="6">
        <v>1.032</v>
      </c>
      <c r="P29" s="6">
        <v>0</v>
      </c>
      <c r="Q29" s="4" t="s">
        <v>26</v>
      </c>
      <c r="R29" s="4">
        <v>0</v>
      </c>
      <c r="S29" s="6">
        <v>0</v>
      </c>
      <c r="T29" s="6">
        <v>35</v>
      </c>
      <c r="U29" s="6">
        <v>79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2389.5</v>
      </c>
      <c r="X29" s="6">
        <f>IF(ISERROR(VLOOKUP($U$29,'TAR FIN'!$A$1:$O$85,15,0)),0,VLOOKUP($U$29,'TAR FIN'!$A$1:$O$85,15,0))</f>
        <v>221.6</v>
      </c>
      <c r="Y29" s="6"/>
      <c r="Z29" s="6">
        <f ca="1">('TUSD BE'!$AM$11+'TUSD BF'!$AM$11+'TUSD CVA'!$AM$11)*1</f>
        <v>2536.2721730427174</v>
      </c>
      <c r="AA29" s="6">
        <f>('TE BE'!$AB$5+'TE BF'!$AB$5+'TE CVA'!$AB$5)*1</f>
        <v>269.20939423802389</v>
      </c>
      <c r="AB29" s="6">
        <f>$K$29*$V$29</f>
        <v>0</v>
      </c>
      <c r="AC29" s="6">
        <f>$M$29*$W$29</f>
        <v>2465.9639999999999</v>
      </c>
      <c r="AD29" s="6">
        <f>$O$29*$X$29</f>
        <v>228.69120000000001</v>
      </c>
      <c r="AE29" s="6">
        <f>$K$29*$Y$29</f>
        <v>0</v>
      </c>
      <c r="AF29" s="6">
        <f ca="1">$M$29*$Z$29</f>
        <v>2617.4328825800844</v>
      </c>
      <c r="AG29" s="6">
        <f>$O$29*$AA$29</f>
        <v>277.82409485364064</v>
      </c>
    </row>
    <row r="30" spans="1:33" ht="11.25" customHeight="1" x14ac:dyDescent="0.3">
      <c r="A30" s="4" t="s">
        <v>21</v>
      </c>
      <c r="B30" s="4" t="s">
        <v>38</v>
      </c>
      <c r="C30" s="4" t="s">
        <v>39</v>
      </c>
      <c r="D30" s="4" t="s">
        <v>37</v>
      </c>
      <c r="E30" s="4" t="s">
        <v>25</v>
      </c>
      <c r="F30" s="4" t="s">
        <v>25</v>
      </c>
      <c r="G30" s="4" t="s">
        <v>25</v>
      </c>
      <c r="H30" s="4" t="s">
        <v>40</v>
      </c>
      <c r="I30" s="5">
        <v>44562</v>
      </c>
      <c r="J30" s="6">
        <v>0</v>
      </c>
      <c r="K30" s="6">
        <v>0</v>
      </c>
      <c r="L30" s="6">
        <v>0.98199999999999998</v>
      </c>
      <c r="M30" s="6">
        <v>0.98199999999999998</v>
      </c>
      <c r="N30" s="6">
        <v>0.98199999999999998</v>
      </c>
      <c r="O30" s="6">
        <v>0.98199999999999998</v>
      </c>
      <c r="P30" s="6">
        <v>0</v>
      </c>
      <c r="Q30" s="4" t="s">
        <v>26</v>
      </c>
      <c r="R30" s="4">
        <v>0</v>
      </c>
      <c r="S30" s="6">
        <v>0</v>
      </c>
      <c r="T30" s="6">
        <v>35</v>
      </c>
      <c r="U30" s="6">
        <v>79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2389.5</v>
      </c>
      <c r="X30" s="6">
        <f>IF(ISERROR(VLOOKUP($U$30,'TAR FIN'!$A$1:$O$85,15,0)),0,VLOOKUP($U$30,'TAR FIN'!$A$1:$O$85,15,0))</f>
        <v>221.6</v>
      </c>
      <c r="Y30" s="6"/>
      <c r="Z30" s="6">
        <f ca="1">('TUSD BE'!$AM$11+'TUSD BF'!$AM$11+'TUSD CVA'!$AM$11)*1</f>
        <v>2536.2721730427174</v>
      </c>
      <c r="AA30" s="6">
        <f>('TE BE'!$AB$5+'TE BF'!$AB$5+'TE CVA'!$AB$5)*1</f>
        <v>269.20939423802389</v>
      </c>
      <c r="AB30" s="6">
        <f>$K$30*$V$30</f>
        <v>0</v>
      </c>
      <c r="AC30" s="6">
        <f>$M$30*$W$30</f>
        <v>2346.489</v>
      </c>
      <c r="AD30" s="6">
        <f>$O$30*$X$30</f>
        <v>217.6112</v>
      </c>
      <c r="AE30" s="6">
        <f>$K$30*$Y$30</f>
        <v>0</v>
      </c>
      <c r="AF30" s="6">
        <f ca="1">$M$30*$Z$30</f>
        <v>2490.6192739279486</v>
      </c>
      <c r="AG30" s="6">
        <f>$O$30*$AA$30</f>
        <v>264.36362514173948</v>
      </c>
    </row>
    <row r="31" spans="1:33" ht="11.25" customHeight="1" x14ac:dyDescent="0.3">
      <c r="A31" s="4" t="s">
        <v>21</v>
      </c>
      <c r="B31" s="4" t="s">
        <v>38</v>
      </c>
      <c r="C31" s="4" t="s">
        <v>39</v>
      </c>
      <c r="D31" s="4" t="s">
        <v>37</v>
      </c>
      <c r="E31" s="4" t="s">
        <v>25</v>
      </c>
      <c r="F31" s="4" t="s">
        <v>25</v>
      </c>
      <c r="G31" s="4" t="s">
        <v>25</v>
      </c>
      <c r="H31" s="4" t="s">
        <v>40</v>
      </c>
      <c r="I31" s="5">
        <v>44593</v>
      </c>
      <c r="J31" s="6">
        <v>0</v>
      </c>
      <c r="K31" s="6">
        <v>0</v>
      </c>
      <c r="L31" s="6">
        <v>0.85699999999999998</v>
      </c>
      <c r="M31" s="6">
        <v>0.85699999999999998</v>
      </c>
      <c r="N31" s="6">
        <v>0.85699999999999998</v>
      </c>
      <c r="O31" s="6">
        <v>0.85699999999999998</v>
      </c>
      <c r="P31" s="6">
        <v>0</v>
      </c>
      <c r="Q31" s="4" t="s">
        <v>26</v>
      </c>
      <c r="R31" s="4">
        <v>0</v>
      </c>
      <c r="S31" s="6">
        <v>0</v>
      </c>
      <c r="T31" s="6">
        <v>35</v>
      </c>
      <c r="U31" s="6">
        <v>79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2389.5</v>
      </c>
      <c r="X31" s="6">
        <f>IF(ISERROR(VLOOKUP($U$31,'TAR FIN'!$A$1:$O$85,15,0)),0,VLOOKUP($U$31,'TAR FIN'!$A$1:$O$85,15,0))</f>
        <v>221.6</v>
      </c>
      <c r="Y31" s="6"/>
      <c r="Z31" s="6">
        <f ca="1">('TUSD BE'!$AM$11+'TUSD BF'!$AM$11+'TUSD CVA'!$AM$11)*1</f>
        <v>2536.2721730427174</v>
      </c>
      <c r="AA31" s="6">
        <f>('TE BE'!$AB$5+'TE BF'!$AB$5+'TE CVA'!$AB$5)*1</f>
        <v>269.20939423802389</v>
      </c>
      <c r="AB31" s="6">
        <f>$K$31*$V$31</f>
        <v>0</v>
      </c>
      <c r="AC31" s="6">
        <f>$M$31*$W$31</f>
        <v>2047.8015</v>
      </c>
      <c r="AD31" s="6">
        <f>$O$31*$X$31</f>
        <v>189.91119999999998</v>
      </c>
      <c r="AE31" s="6">
        <f>$K$31*$Y$31</f>
        <v>0</v>
      </c>
      <c r="AF31" s="6">
        <f ca="1">$M$31*$Z$31</f>
        <v>2173.5852522976088</v>
      </c>
      <c r="AG31" s="6">
        <f>$O$31*$AA$31</f>
        <v>230.71245086198647</v>
      </c>
    </row>
    <row r="32" spans="1:33" ht="11.25" customHeight="1" x14ac:dyDescent="0.3">
      <c r="A32" s="4" t="s">
        <v>21</v>
      </c>
      <c r="B32" s="4" t="s">
        <v>38</v>
      </c>
      <c r="C32" s="4" t="s">
        <v>39</v>
      </c>
      <c r="D32" s="4" t="s">
        <v>37</v>
      </c>
      <c r="E32" s="4" t="s">
        <v>25</v>
      </c>
      <c r="F32" s="4" t="s">
        <v>25</v>
      </c>
      <c r="G32" s="4" t="s">
        <v>25</v>
      </c>
      <c r="H32" s="4" t="s">
        <v>40</v>
      </c>
      <c r="I32" s="5">
        <v>44621</v>
      </c>
      <c r="J32" s="6">
        <v>0</v>
      </c>
      <c r="K32" s="6">
        <v>0</v>
      </c>
      <c r="L32" s="6">
        <v>1.0409999999999999</v>
      </c>
      <c r="M32" s="6">
        <v>1.0409999999999999</v>
      </c>
      <c r="N32" s="6">
        <v>1.0409999999999999</v>
      </c>
      <c r="O32" s="6">
        <v>1.0409999999999999</v>
      </c>
      <c r="P32" s="6">
        <v>0</v>
      </c>
      <c r="Q32" s="4" t="s">
        <v>26</v>
      </c>
      <c r="R32" s="4">
        <v>0</v>
      </c>
      <c r="S32" s="6">
        <v>0</v>
      </c>
      <c r="T32" s="6">
        <v>35</v>
      </c>
      <c r="U32" s="6">
        <v>79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2389.5</v>
      </c>
      <c r="X32" s="6">
        <f>IF(ISERROR(VLOOKUP($U$32,'TAR FIN'!$A$1:$O$85,15,0)),0,VLOOKUP($U$32,'TAR FIN'!$A$1:$O$85,15,0))</f>
        <v>221.6</v>
      </c>
      <c r="Y32" s="6"/>
      <c r="Z32" s="6">
        <f ca="1">('TUSD BE'!$AM$11+'TUSD BF'!$AM$11+'TUSD CVA'!$AM$11)*1</f>
        <v>2536.2721730427174</v>
      </c>
      <c r="AA32" s="6">
        <f>('TE BE'!$AB$5+'TE BF'!$AB$5+'TE CVA'!$AB$5)*1</f>
        <v>269.20939423802389</v>
      </c>
      <c r="AB32" s="6">
        <f>$K$32*$V$32</f>
        <v>0</v>
      </c>
      <c r="AC32" s="6">
        <f>$M$32*$W$32</f>
        <v>2487.4694999999997</v>
      </c>
      <c r="AD32" s="6">
        <f>$O$32*$X$32</f>
        <v>230.68559999999997</v>
      </c>
      <c r="AE32" s="6">
        <f>$K$32*$Y$32</f>
        <v>0</v>
      </c>
      <c r="AF32" s="6">
        <f ca="1">$M$32*$Z$32</f>
        <v>2640.2593321374688</v>
      </c>
      <c r="AG32" s="6">
        <f>$O$32*$AA$32</f>
        <v>280.24697940178282</v>
      </c>
    </row>
    <row r="33" spans="1:33" ht="11.25" customHeight="1" x14ac:dyDescent="0.3">
      <c r="A33" s="4" t="s">
        <v>21</v>
      </c>
      <c r="B33" s="4" t="s">
        <v>38</v>
      </c>
      <c r="C33" s="4" t="s">
        <v>39</v>
      </c>
      <c r="D33" s="4" t="s">
        <v>37</v>
      </c>
      <c r="E33" s="4" t="s">
        <v>25</v>
      </c>
      <c r="F33" s="4" t="s">
        <v>25</v>
      </c>
      <c r="G33" s="4" t="s">
        <v>25</v>
      </c>
      <c r="H33" s="4" t="s">
        <v>40</v>
      </c>
      <c r="I33" s="5">
        <v>44652</v>
      </c>
      <c r="J33" s="6">
        <v>0</v>
      </c>
      <c r="K33" s="6">
        <v>0</v>
      </c>
      <c r="L33" s="6">
        <v>0.8</v>
      </c>
      <c r="M33" s="6">
        <v>0.8</v>
      </c>
      <c r="N33" s="6">
        <v>0.8</v>
      </c>
      <c r="O33" s="6">
        <v>0.8</v>
      </c>
      <c r="P33" s="6">
        <v>0</v>
      </c>
      <c r="Q33" s="4" t="s">
        <v>26</v>
      </c>
      <c r="R33" s="4">
        <v>0</v>
      </c>
      <c r="S33" s="6">
        <v>0</v>
      </c>
      <c r="T33" s="6">
        <v>35</v>
      </c>
      <c r="U33" s="6">
        <v>79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2389.5</v>
      </c>
      <c r="X33" s="6">
        <f>IF(ISERROR(VLOOKUP($U$33,'TAR FIN'!$A$1:$O$85,15,0)),0,VLOOKUP($U$33,'TAR FIN'!$A$1:$O$85,15,0))</f>
        <v>221.6</v>
      </c>
      <c r="Y33" s="6"/>
      <c r="Z33" s="6">
        <f ca="1">('TUSD BE'!$AM$11+'TUSD BF'!$AM$11+'TUSD CVA'!$AM$11)*1</f>
        <v>2536.2721730427174</v>
      </c>
      <c r="AA33" s="6">
        <f>('TE BE'!$AB$5+'TE BF'!$AB$5+'TE CVA'!$AB$5)*1</f>
        <v>269.20939423802389</v>
      </c>
      <c r="AB33" s="6">
        <f>$K$33*$V$33</f>
        <v>0</v>
      </c>
      <c r="AC33" s="6">
        <f>$M$33*$W$33</f>
        <v>1911.6000000000001</v>
      </c>
      <c r="AD33" s="6">
        <f>$O$33*$X$33</f>
        <v>177.28</v>
      </c>
      <c r="AE33" s="6">
        <f>$K$33*$Y$33</f>
        <v>0</v>
      </c>
      <c r="AF33" s="6">
        <f ca="1">$M$33*$Z$33</f>
        <v>2029.0177384341741</v>
      </c>
      <c r="AG33" s="6">
        <f>$O$33*$AA$33</f>
        <v>215.36751539041913</v>
      </c>
    </row>
    <row r="34" spans="1:33" ht="11.25" customHeight="1" x14ac:dyDescent="0.3">
      <c r="A34" s="4" t="s">
        <v>21</v>
      </c>
      <c r="B34" s="4" t="s">
        <v>38</v>
      </c>
      <c r="C34" s="4" t="s">
        <v>39</v>
      </c>
      <c r="D34" s="4" t="s">
        <v>37</v>
      </c>
      <c r="E34" s="4" t="s">
        <v>25</v>
      </c>
      <c r="F34" s="4" t="s">
        <v>25</v>
      </c>
      <c r="G34" s="4" t="s">
        <v>25</v>
      </c>
      <c r="H34" s="4" t="s">
        <v>40</v>
      </c>
      <c r="I34" s="5">
        <v>44682</v>
      </c>
      <c r="J34" s="6">
        <v>0</v>
      </c>
      <c r="K34" s="6">
        <v>0</v>
      </c>
      <c r="L34" s="6">
        <v>1.1870000000000001</v>
      </c>
      <c r="M34" s="6">
        <v>1.1870000000000001</v>
      </c>
      <c r="N34" s="6">
        <v>1.1870000000000001</v>
      </c>
      <c r="O34" s="6">
        <v>1.1870000000000001</v>
      </c>
      <c r="P34" s="6">
        <v>0</v>
      </c>
      <c r="Q34" s="4" t="s">
        <v>26</v>
      </c>
      <c r="R34" s="4">
        <v>0</v>
      </c>
      <c r="S34" s="6">
        <v>0</v>
      </c>
      <c r="T34" s="6">
        <v>35</v>
      </c>
      <c r="U34" s="6">
        <v>79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2389.5</v>
      </c>
      <c r="X34" s="6">
        <f>IF(ISERROR(VLOOKUP($U$34,'TAR FIN'!$A$1:$O$85,15,0)),0,VLOOKUP($U$34,'TAR FIN'!$A$1:$O$85,15,0))</f>
        <v>221.6</v>
      </c>
      <c r="Y34" s="6"/>
      <c r="Z34" s="6">
        <f ca="1">('TUSD BE'!$AM$11+'TUSD BF'!$AM$11+'TUSD CVA'!$AM$11)*1</f>
        <v>2536.2721730427174</v>
      </c>
      <c r="AA34" s="6">
        <f>('TE BE'!$AB$5+'TE BF'!$AB$5+'TE CVA'!$AB$5)*1</f>
        <v>269.20939423802389</v>
      </c>
      <c r="AB34" s="6">
        <f>$K$34*$V$34</f>
        <v>0</v>
      </c>
      <c r="AC34" s="6">
        <f>$M$34*$W$34</f>
        <v>2836.3365000000003</v>
      </c>
      <c r="AD34" s="6">
        <f>$O$34*$X$34</f>
        <v>263.03919999999999</v>
      </c>
      <c r="AE34" s="6">
        <f>$K$34*$Y$34</f>
        <v>0</v>
      </c>
      <c r="AF34" s="6">
        <f ca="1">$M$34*$Z$34</f>
        <v>3010.5550694017056</v>
      </c>
      <c r="AG34" s="6">
        <f>$O$34*$AA$34</f>
        <v>319.55155096053437</v>
      </c>
    </row>
    <row r="35" spans="1:33" ht="11.25" customHeight="1" x14ac:dyDescent="0.3">
      <c r="A35" s="4" t="s">
        <v>21</v>
      </c>
      <c r="B35" s="4" t="s">
        <v>38</v>
      </c>
      <c r="C35" s="4" t="s">
        <v>39</v>
      </c>
      <c r="D35" s="4" t="s">
        <v>37</v>
      </c>
      <c r="E35" s="4" t="s">
        <v>25</v>
      </c>
      <c r="F35" s="4" t="s">
        <v>25</v>
      </c>
      <c r="G35" s="4" t="s">
        <v>25</v>
      </c>
      <c r="H35" s="4" t="s">
        <v>40</v>
      </c>
      <c r="I35" s="5">
        <v>44713</v>
      </c>
      <c r="J35" s="6">
        <v>0</v>
      </c>
      <c r="K35" s="6">
        <v>0</v>
      </c>
      <c r="L35" s="6">
        <v>1.383</v>
      </c>
      <c r="M35" s="6">
        <v>1.383</v>
      </c>
      <c r="N35" s="6">
        <v>1.383</v>
      </c>
      <c r="O35" s="6">
        <v>1.383</v>
      </c>
      <c r="P35" s="6">
        <v>0</v>
      </c>
      <c r="Q35" s="4" t="s">
        <v>26</v>
      </c>
      <c r="R35" s="4">
        <v>0</v>
      </c>
      <c r="S35" s="6">
        <v>0</v>
      </c>
      <c r="T35" s="6">
        <v>35</v>
      </c>
      <c r="U35" s="6">
        <v>79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2389.5</v>
      </c>
      <c r="X35" s="6">
        <f>IF(ISERROR(VLOOKUP($U$35,'TAR FIN'!$A$1:$O$85,15,0)),0,VLOOKUP($U$35,'TAR FIN'!$A$1:$O$85,15,0))</f>
        <v>221.6</v>
      </c>
      <c r="Y35" s="6"/>
      <c r="Z35" s="6">
        <f ca="1">('TUSD BE'!$AM$11+'TUSD BF'!$AM$11+'TUSD CVA'!$AM$11)*1</f>
        <v>2536.2721730427174</v>
      </c>
      <c r="AA35" s="6">
        <f>('TE BE'!$AB$5+'TE BF'!$AB$5+'TE CVA'!$AB$5)*1</f>
        <v>269.20939423802389</v>
      </c>
      <c r="AB35" s="6">
        <f>$K$35*$V$35</f>
        <v>0</v>
      </c>
      <c r="AC35" s="6">
        <f>$M$35*$W$35</f>
        <v>3304.6785</v>
      </c>
      <c r="AD35" s="6">
        <f>$O$35*$X$35</f>
        <v>306.47280000000001</v>
      </c>
      <c r="AE35" s="6">
        <f>$K$35*$Y$35</f>
        <v>0</v>
      </c>
      <c r="AF35" s="6">
        <f ca="1">$M$35*$Z$35</f>
        <v>3507.6644153180782</v>
      </c>
      <c r="AG35" s="6">
        <f>$O$35*$AA$35</f>
        <v>372.31659223118703</v>
      </c>
    </row>
    <row r="36" spans="1:33" ht="11.25" customHeight="1" x14ac:dyDescent="0.3">
      <c r="A36" s="4" t="s">
        <v>21</v>
      </c>
      <c r="B36" s="4" t="s">
        <v>38</v>
      </c>
      <c r="C36" s="4" t="s">
        <v>39</v>
      </c>
      <c r="D36" s="4" t="s">
        <v>37</v>
      </c>
      <c r="E36" s="4" t="s">
        <v>25</v>
      </c>
      <c r="F36" s="4" t="s">
        <v>25</v>
      </c>
      <c r="G36" s="4" t="s">
        <v>25</v>
      </c>
      <c r="H36" s="4" t="s">
        <v>40</v>
      </c>
      <c r="I36" s="5">
        <v>44743</v>
      </c>
      <c r="J36" s="6">
        <v>0</v>
      </c>
      <c r="K36" s="6">
        <v>0</v>
      </c>
      <c r="L36" s="6">
        <v>1.492</v>
      </c>
      <c r="M36" s="6">
        <v>1.492</v>
      </c>
      <c r="N36" s="6">
        <v>1.492</v>
      </c>
      <c r="O36" s="6">
        <v>1.492</v>
      </c>
      <c r="P36" s="6">
        <v>0</v>
      </c>
      <c r="Q36" s="4" t="s">
        <v>26</v>
      </c>
      <c r="R36" s="4">
        <v>0</v>
      </c>
      <c r="S36" s="6">
        <v>0</v>
      </c>
      <c r="T36" s="6">
        <v>35</v>
      </c>
      <c r="U36" s="6">
        <v>79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2389.5</v>
      </c>
      <c r="X36" s="6">
        <f>IF(ISERROR(VLOOKUP($U$36,'TAR FIN'!$A$1:$O$85,15,0)),0,VLOOKUP($U$36,'TAR FIN'!$A$1:$O$85,15,0))</f>
        <v>221.6</v>
      </c>
      <c r="Y36" s="6"/>
      <c r="Z36" s="6">
        <f ca="1">('TUSD BE'!$AM$11+'TUSD BF'!$AM$11+'TUSD CVA'!$AM$11)*1</f>
        <v>2536.2721730427174</v>
      </c>
      <c r="AA36" s="6">
        <f>('TE BE'!$AB$5+'TE BF'!$AB$5+'TE CVA'!$AB$5)*1</f>
        <v>269.20939423802389</v>
      </c>
      <c r="AB36" s="6">
        <f>$K$36*$V$36</f>
        <v>0</v>
      </c>
      <c r="AC36" s="6">
        <f>$M$36*$W$36</f>
        <v>3565.134</v>
      </c>
      <c r="AD36" s="6">
        <f>$O$36*$X$36</f>
        <v>330.62720000000002</v>
      </c>
      <c r="AE36" s="6">
        <f>$K$36*$Y$36</f>
        <v>0</v>
      </c>
      <c r="AF36" s="6">
        <f ca="1">$M$36*$Z$36</f>
        <v>3784.1180821797343</v>
      </c>
      <c r="AG36" s="6">
        <f>$O$36*$AA$36</f>
        <v>401.66041620313166</v>
      </c>
    </row>
    <row r="37" spans="1:33" ht="11.25" customHeight="1" x14ac:dyDescent="0.3">
      <c r="A37" s="4" t="s">
        <v>21</v>
      </c>
      <c r="B37" s="4" t="s">
        <v>38</v>
      </c>
      <c r="C37" s="4" t="s">
        <v>39</v>
      </c>
      <c r="D37" s="4" t="s">
        <v>37</v>
      </c>
      <c r="E37" s="4" t="s">
        <v>25</v>
      </c>
      <c r="F37" s="4" t="s">
        <v>25</v>
      </c>
      <c r="G37" s="4" t="s">
        <v>25</v>
      </c>
      <c r="H37" s="4" t="s">
        <v>40</v>
      </c>
      <c r="I37" s="5">
        <v>44774</v>
      </c>
      <c r="J37" s="6">
        <v>0</v>
      </c>
      <c r="K37" s="6">
        <v>0</v>
      </c>
      <c r="L37" s="6">
        <v>1.9319999999999999</v>
      </c>
      <c r="M37" s="6">
        <v>1.9319999999999999</v>
      </c>
      <c r="N37" s="6">
        <v>1.9319999999999999</v>
      </c>
      <c r="O37" s="6">
        <v>1.9319999999999999</v>
      </c>
      <c r="P37" s="6">
        <v>0</v>
      </c>
      <c r="Q37" s="4" t="s">
        <v>26</v>
      </c>
      <c r="R37" s="4">
        <v>0</v>
      </c>
      <c r="S37" s="6">
        <v>0</v>
      </c>
      <c r="T37" s="6">
        <v>35</v>
      </c>
      <c r="U37" s="6">
        <v>79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2389.5</v>
      </c>
      <c r="X37" s="6">
        <f>IF(ISERROR(VLOOKUP($U$37,'TAR FIN'!$A$1:$O$85,15,0)),0,VLOOKUP($U$37,'TAR FIN'!$A$1:$O$85,15,0))</f>
        <v>221.6</v>
      </c>
      <c r="Y37" s="6"/>
      <c r="Z37" s="6">
        <f ca="1">('TUSD BE'!$AM$11+'TUSD BF'!$AM$11+'TUSD CVA'!$AM$11)*1</f>
        <v>2536.2721730427174</v>
      </c>
      <c r="AA37" s="6">
        <f>('TE BE'!$AB$5+'TE BF'!$AB$5+'TE CVA'!$AB$5)*1</f>
        <v>269.20939423802389</v>
      </c>
      <c r="AB37" s="6">
        <f>$K$37*$V$37</f>
        <v>0</v>
      </c>
      <c r="AC37" s="6">
        <f>$M$37*$W$37</f>
        <v>4616.5140000000001</v>
      </c>
      <c r="AD37" s="6">
        <f>$O$37*$X$37</f>
        <v>428.13119999999998</v>
      </c>
      <c r="AE37" s="6">
        <f>$K$37*$Y$37</f>
        <v>0</v>
      </c>
      <c r="AF37" s="6">
        <f ca="1">$M$37*$Z$37</f>
        <v>4900.0778383185298</v>
      </c>
      <c r="AG37" s="6">
        <f>$O$37*$AA$37</f>
        <v>520.11254966786214</v>
      </c>
    </row>
    <row r="38" spans="1:33" ht="11.25" customHeight="1" x14ac:dyDescent="0.3">
      <c r="A38" s="4" t="s">
        <v>21</v>
      </c>
      <c r="B38" s="4" t="s">
        <v>38</v>
      </c>
      <c r="C38" s="4" t="s">
        <v>39</v>
      </c>
      <c r="D38" s="4" t="s">
        <v>49</v>
      </c>
      <c r="E38" s="4" t="s">
        <v>25</v>
      </c>
      <c r="F38" s="4" t="s">
        <v>50</v>
      </c>
      <c r="G38" s="4" t="s">
        <v>25</v>
      </c>
      <c r="H38" s="4" t="s">
        <v>34</v>
      </c>
      <c r="I38" s="5">
        <v>44440</v>
      </c>
      <c r="J38" s="6">
        <v>0</v>
      </c>
      <c r="K38" s="6">
        <v>0</v>
      </c>
      <c r="L38" s="6">
        <v>794.00699999999995</v>
      </c>
      <c r="M38" s="6">
        <v>794.00699999999995</v>
      </c>
      <c r="N38" s="6">
        <v>0</v>
      </c>
      <c r="O38" s="6">
        <v>0</v>
      </c>
      <c r="P38" s="6">
        <v>0</v>
      </c>
      <c r="Q38" s="4" t="s">
        <v>51</v>
      </c>
      <c r="R38" s="4">
        <v>0</v>
      </c>
      <c r="S38" s="6">
        <v>0</v>
      </c>
      <c r="T38" s="6">
        <v>40</v>
      </c>
      <c r="U38" s="6">
        <v>0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93.48</v>
      </c>
      <c r="X38" s="6">
        <f>IF(ISERROR(VLOOKUP($U$38,'TAR FIN'!$A$1:$O$85,15,0)),0,VLOOKUP($U$38,'TAR FIN'!$A$1:$O$85,15,0))</f>
        <v>0</v>
      </c>
      <c r="Y38" s="6"/>
      <c r="Z38" s="6">
        <f ca="1">('TUSD BE'!$AM$12+'TUSD BF'!$AM$12+'TUSD CVA'!$AM$12)*1</f>
        <v>126.58207043299907</v>
      </c>
      <c r="AA38" s="6"/>
      <c r="AB38" s="6">
        <f>$K$38*$V$38</f>
        <v>0</v>
      </c>
      <c r="AC38" s="6">
        <f>$M$38*$W$38</f>
        <v>74223.774359999996</v>
      </c>
      <c r="AD38" s="6">
        <f>$O$38*$X$38</f>
        <v>0</v>
      </c>
      <c r="AE38" s="6">
        <f>$K$38*$Y$38</f>
        <v>0</v>
      </c>
      <c r="AF38" s="6">
        <f ca="1">$M$38*$Z$38</f>
        <v>100507.04999829429</v>
      </c>
      <c r="AG38" s="6">
        <f>$O$38*$AA$38</f>
        <v>0</v>
      </c>
    </row>
    <row r="39" spans="1:33" ht="11.25" customHeight="1" x14ac:dyDescent="0.3">
      <c r="A39" s="4" t="s">
        <v>21</v>
      </c>
      <c r="B39" s="4" t="s">
        <v>38</v>
      </c>
      <c r="C39" s="4" t="s">
        <v>39</v>
      </c>
      <c r="D39" s="4" t="s">
        <v>49</v>
      </c>
      <c r="E39" s="4" t="s">
        <v>25</v>
      </c>
      <c r="F39" s="4" t="s">
        <v>50</v>
      </c>
      <c r="G39" s="4" t="s">
        <v>25</v>
      </c>
      <c r="H39" s="4" t="s">
        <v>34</v>
      </c>
      <c r="I39" s="5">
        <v>44470</v>
      </c>
      <c r="J39" s="6">
        <v>0</v>
      </c>
      <c r="K39" s="6">
        <v>0</v>
      </c>
      <c r="L39" s="6">
        <v>755.34</v>
      </c>
      <c r="M39" s="6">
        <v>755.34</v>
      </c>
      <c r="N39" s="6">
        <v>0</v>
      </c>
      <c r="O39" s="6">
        <v>0</v>
      </c>
      <c r="P39" s="6">
        <v>0</v>
      </c>
      <c r="Q39" s="4" t="s">
        <v>51</v>
      </c>
      <c r="R39" s="4">
        <v>0</v>
      </c>
      <c r="S39" s="6">
        <v>0</v>
      </c>
      <c r="T39" s="6">
        <v>40</v>
      </c>
      <c r="U39" s="6">
        <v>0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93.48</v>
      </c>
      <c r="X39" s="6">
        <f>IF(ISERROR(VLOOKUP($U$39,'TAR FIN'!$A$1:$O$85,15,0)),0,VLOOKUP($U$39,'TAR FIN'!$A$1:$O$85,15,0))</f>
        <v>0</v>
      </c>
      <c r="Y39" s="6"/>
      <c r="Z39" s="6">
        <f ca="1">('TUSD BE'!$AM$12+'TUSD BF'!$AM$12+'TUSD CVA'!$AM$12)*1</f>
        <v>126.58207043299907</v>
      </c>
      <c r="AA39" s="6"/>
      <c r="AB39" s="6">
        <f>$K$39*$V$39</f>
        <v>0</v>
      </c>
      <c r="AC39" s="6">
        <f>$M$39*$W$39</f>
        <v>70609.183199999999</v>
      </c>
      <c r="AD39" s="6">
        <f>$O$39*$X$39</f>
        <v>0</v>
      </c>
      <c r="AE39" s="6">
        <f>$K$39*$Y$39</f>
        <v>0</v>
      </c>
      <c r="AF39" s="6">
        <f ca="1">$M$39*$Z$39</f>
        <v>95612.501080861519</v>
      </c>
      <c r="AG39" s="6">
        <f>$O$39*$AA$39</f>
        <v>0</v>
      </c>
    </row>
    <row r="40" spans="1:33" ht="11.25" customHeight="1" x14ac:dyDescent="0.3">
      <c r="A40" s="4" t="s">
        <v>21</v>
      </c>
      <c r="B40" s="4" t="s">
        <v>38</v>
      </c>
      <c r="C40" s="4" t="s">
        <v>39</v>
      </c>
      <c r="D40" s="4" t="s">
        <v>49</v>
      </c>
      <c r="E40" s="4" t="s">
        <v>25</v>
      </c>
      <c r="F40" s="4" t="s">
        <v>50</v>
      </c>
      <c r="G40" s="4" t="s">
        <v>25</v>
      </c>
      <c r="H40" s="4" t="s">
        <v>34</v>
      </c>
      <c r="I40" s="5">
        <v>44501</v>
      </c>
      <c r="J40" s="6">
        <v>0</v>
      </c>
      <c r="K40" s="6">
        <v>0</v>
      </c>
      <c r="L40" s="6">
        <v>779.74400000000003</v>
      </c>
      <c r="M40" s="6">
        <v>779.74400000000003</v>
      </c>
      <c r="N40" s="6">
        <v>0</v>
      </c>
      <c r="O40" s="6">
        <v>0</v>
      </c>
      <c r="P40" s="6">
        <v>0</v>
      </c>
      <c r="Q40" s="4" t="s">
        <v>51</v>
      </c>
      <c r="R40" s="4">
        <v>0</v>
      </c>
      <c r="S40" s="6">
        <v>0</v>
      </c>
      <c r="T40" s="6">
        <v>40</v>
      </c>
      <c r="U40" s="6">
        <v>0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93.48</v>
      </c>
      <c r="X40" s="6">
        <f>IF(ISERROR(VLOOKUP($U$40,'TAR FIN'!$A$1:$O$85,15,0)),0,VLOOKUP($U$40,'TAR FIN'!$A$1:$O$85,15,0))</f>
        <v>0</v>
      </c>
      <c r="Y40" s="6"/>
      <c r="Z40" s="6">
        <f ca="1">('TUSD BE'!$AM$12+'TUSD BF'!$AM$12+'TUSD CVA'!$AM$12)*1</f>
        <v>126.58207043299907</v>
      </c>
      <c r="AA40" s="6"/>
      <c r="AB40" s="6">
        <f>$K$40*$V$40</f>
        <v>0</v>
      </c>
      <c r="AC40" s="6">
        <f>$M$40*$W$40</f>
        <v>72890.469120000009</v>
      </c>
      <c r="AD40" s="6">
        <f>$O$40*$X$40</f>
        <v>0</v>
      </c>
      <c r="AE40" s="6">
        <f>$K$40*$Y$40</f>
        <v>0</v>
      </c>
      <c r="AF40" s="6">
        <f ca="1">$M$40*$Z$40</f>
        <v>98701.609927708429</v>
      </c>
      <c r="AG40" s="6">
        <f>$O$40*$AA$40</f>
        <v>0</v>
      </c>
    </row>
    <row r="41" spans="1:33" ht="11.25" customHeight="1" x14ac:dyDescent="0.3">
      <c r="A41" s="4" t="s">
        <v>21</v>
      </c>
      <c r="B41" s="4" t="s">
        <v>38</v>
      </c>
      <c r="C41" s="4" t="s">
        <v>39</v>
      </c>
      <c r="D41" s="4" t="s">
        <v>49</v>
      </c>
      <c r="E41" s="4" t="s">
        <v>25</v>
      </c>
      <c r="F41" s="4" t="s">
        <v>50</v>
      </c>
      <c r="G41" s="4" t="s">
        <v>25</v>
      </c>
      <c r="H41" s="4" t="s">
        <v>34</v>
      </c>
      <c r="I41" s="5">
        <v>44531</v>
      </c>
      <c r="J41" s="6">
        <v>0</v>
      </c>
      <c r="K41" s="6">
        <v>0</v>
      </c>
      <c r="L41" s="6">
        <v>868.61800000000005</v>
      </c>
      <c r="M41" s="6">
        <v>868.61800000000005</v>
      </c>
      <c r="N41" s="6">
        <v>0</v>
      </c>
      <c r="O41" s="6">
        <v>0</v>
      </c>
      <c r="P41" s="6">
        <v>0</v>
      </c>
      <c r="Q41" s="4" t="s">
        <v>51</v>
      </c>
      <c r="R41" s="4">
        <v>0</v>
      </c>
      <c r="S41" s="6">
        <v>0</v>
      </c>
      <c r="T41" s="6">
        <v>40</v>
      </c>
      <c r="U41" s="6">
        <v>0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93.48</v>
      </c>
      <c r="X41" s="6">
        <f>IF(ISERROR(VLOOKUP($U$41,'TAR FIN'!$A$1:$O$85,15,0)),0,VLOOKUP($U$41,'TAR FIN'!$A$1:$O$85,15,0))</f>
        <v>0</v>
      </c>
      <c r="Y41" s="6"/>
      <c r="Z41" s="6">
        <f ca="1">('TUSD BE'!$AM$12+'TUSD BF'!$AM$12+'TUSD CVA'!$AM$12)*1</f>
        <v>126.58207043299907</v>
      </c>
      <c r="AA41" s="6"/>
      <c r="AB41" s="6">
        <f>$K$41*$V$41</f>
        <v>0</v>
      </c>
      <c r="AC41" s="6">
        <f>$M$41*$W$41</f>
        <v>81198.410640000002</v>
      </c>
      <c r="AD41" s="6">
        <f>$O$41*$X$41</f>
        <v>0</v>
      </c>
      <c r="AE41" s="6">
        <f>$K$41*$Y$41</f>
        <v>0</v>
      </c>
      <c r="AF41" s="6">
        <f ca="1">$M$41*$Z$41</f>
        <v>109951.4648553708</v>
      </c>
      <c r="AG41" s="6">
        <f>$O$41*$AA$41</f>
        <v>0</v>
      </c>
    </row>
    <row r="42" spans="1:33" ht="11.25" customHeight="1" x14ac:dyDescent="0.3">
      <c r="A42" s="4" t="s">
        <v>21</v>
      </c>
      <c r="B42" s="4" t="s">
        <v>38</v>
      </c>
      <c r="C42" s="4" t="s">
        <v>39</v>
      </c>
      <c r="D42" s="4" t="s">
        <v>49</v>
      </c>
      <c r="E42" s="4" t="s">
        <v>25</v>
      </c>
      <c r="F42" s="4" t="s">
        <v>50</v>
      </c>
      <c r="G42" s="4" t="s">
        <v>25</v>
      </c>
      <c r="H42" s="4" t="s">
        <v>34</v>
      </c>
      <c r="I42" s="5">
        <v>44562</v>
      </c>
      <c r="J42" s="6">
        <v>0</v>
      </c>
      <c r="K42" s="6">
        <v>0</v>
      </c>
      <c r="L42" s="6">
        <v>868.58399999999995</v>
      </c>
      <c r="M42" s="6">
        <v>868.58399999999995</v>
      </c>
      <c r="N42" s="6">
        <v>0</v>
      </c>
      <c r="O42" s="6">
        <v>0</v>
      </c>
      <c r="P42" s="6">
        <v>0</v>
      </c>
      <c r="Q42" s="4" t="s">
        <v>51</v>
      </c>
      <c r="R42" s="4">
        <v>0</v>
      </c>
      <c r="S42" s="6">
        <v>0</v>
      </c>
      <c r="T42" s="6">
        <v>40</v>
      </c>
      <c r="U42" s="6">
        <v>0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93.48</v>
      </c>
      <c r="X42" s="6">
        <f>IF(ISERROR(VLOOKUP($U$42,'TAR FIN'!$A$1:$O$85,15,0)),0,VLOOKUP($U$42,'TAR FIN'!$A$1:$O$85,15,0))</f>
        <v>0</v>
      </c>
      <c r="Y42" s="6"/>
      <c r="Z42" s="6">
        <f ca="1">('TUSD BE'!$AM$12+'TUSD BF'!$AM$12+'TUSD CVA'!$AM$12)*1</f>
        <v>126.58207043299907</v>
      </c>
      <c r="AA42" s="6"/>
      <c r="AB42" s="6">
        <f>$K$42*$V$42</f>
        <v>0</v>
      </c>
      <c r="AC42" s="6">
        <f>$M$42*$W$42</f>
        <v>81195.232319999996</v>
      </c>
      <c r="AD42" s="6">
        <f>$O$42*$X$42</f>
        <v>0</v>
      </c>
      <c r="AE42" s="6">
        <f>$K$42*$Y$42</f>
        <v>0</v>
      </c>
      <c r="AF42" s="6">
        <f ca="1">$M$42*$Z$42</f>
        <v>109947.16106497606</v>
      </c>
      <c r="AG42" s="6">
        <f>$O$42*$AA$42</f>
        <v>0</v>
      </c>
    </row>
    <row r="43" spans="1:33" ht="11.25" customHeight="1" x14ac:dyDescent="0.3">
      <c r="A43" s="4" t="s">
        <v>21</v>
      </c>
      <c r="B43" s="4" t="s">
        <v>38</v>
      </c>
      <c r="C43" s="4" t="s">
        <v>39</v>
      </c>
      <c r="D43" s="4" t="s">
        <v>49</v>
      </c>
      <c r="E43" s="4" t="s">
        <v>25</v>
      </c>
      <c r="F43" s="4" t="s">
        <v>50</v>
      </c>
      <c r="G43" s="4" t="s">
        <v>25</v>
      </c>
      <c r="H43" s="4" t="s">
        <v>34</v>
      </c>
      <c r="I43" s="5">
        <v>44593</v>
      </c>
      <c r="J43" s="6">
        <v>0</v>
      </c>
      <c r="K43" s="6">
        <v>0</v>
      </c>
      <c r="L43" s="6">
        <v>819.54899999999998</v>
      </c>
      <c r="M43" s="6">
        <v>819.54899999999998</v>
      </c>
      <c r="N43" s="6">
        <v>0</v>
      </c>
      <c r="O43" s="6">
        <v>0</v>
      </c>
      <c r="P43" s="6">
        <v>0</v>
      </c>
      <c r="Q43" s="4" t="s">
        <v>51</v>
      </c>
      <c r="R43" s="4">
        <v>0</v>
      </c>
      <c r="S43" s="6">
        <v>0</v>
      </c>
      <c r="T43" s="6">
        <v>40</v>
      </c>
      <c r="U43" s="6">
        <v>0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93.48</v>
      </c>
      <c r="X43" s="6">
        <f>IF(ISERROR(VLOOKUP($U$43,'TAR FIN'!$A$1:$O$85,15,0)),0,VLOOKUP($U$43,'TAR FIN'!$A$1:$O$85,15,0))</f>
        <v>0</v>
      </c>
      <c r="Y43" s="6"/>
      <c r="Z43" s="6">
        <f ca="1">('TUSD BE'!$AM$12+'TUSD BF'!$AM$12+'TUSD CVA'!$AM$12)*1</f>
        <v>126.58207043299907</v>
      </c>
      <c r="AA43" s="6"/>
      <c r="AB43" s="6">
        <f>$K$43*$V$43</f>
        <v>0</v>
      </c>
      <c r="AC43" s="6">
        <f>$M$43*$W$43</f>
        <v>76611.440520000004</v>
      </c>
      <c r="AD43" s="6">
        <f>$O$43*$X$43</f>
        <v>0</v>
      </c>
      <c r="AE43" s="6">
        <f>$K$43*$Y$43</f>
        <v>0</v>
      </c>
      <c r="AF43" s="6">
        <f ca="1">$M$43*$Z$43</f>
        <v>103740.20924129395</v>
      </c>
      <c r="AG43" s="6">
        <f>$O$43*$AA$43</f>
        <v>0</v>
      </c>
    </row>
    <row r="44" spans="1:33" ht="11.25" customHeight="1" x14ac:dyDescent="0.3">
      <c r="A44" s="4" t="s">
        <v>21</v>
      </c>
      <c r="B44" s="4" t="s">
        <v>38</v>
      </c>
      <c r="C44" s="4" t="s">
        <v>39</v>
      </c>
      <c r="D44" s="4" t="s">
        <v>49</v>
      </c>
      <c r="E44" s="4" t="s">
        <v>25</v>
      </c>
      <c r="F44" s="4" t="s">
        <v>50</v>
      </c>
      <c r="G44" s="4" t="s">
        <v>25</v>
      </c>
      <c r="H44" s="4" t="s">
        <v>34</v>
      </c>
      <c r="I44" s="5">
        <v>44621</v>
      </c>
      <c r="J44" s="6">
        <v>0</v>
      </c>
      <c r="K44" s="6">
        <v>0</v>
      </c>
      <c r="L44" s="6">
        <v>830.31600000000003</v>
      </c>
      <c r="M44" s="6">
        <v>830.31600000000003</v>
      </c>
      <c r="N44" s="6">
        <v>0</v>
      </c>
      <c r="O44" s="6">
        <v>0</v>
      </c>
      <c r="P44" s="6">
        <v>0</v>
      </c>
      <c r="Q44" s="4" t="s">
        <v>51</v>
      </c>
      <c r="R44" s="4">
        <v>0</v>
      </c>
      <c r="S44" s="6">
        <v>0</v>
      </c>
      <c r="T44" s="6">
        <v>40</v>
      </c>
      <c r="U44" s="6">
        <v>0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93.48</v>
      </c>
      <c r="X44" s="6">
        <f>IF(ISERROR(VLOOKUP($U$44,'TAR FIN'!$A$1:$O$85,15,0)),0,VLOOKUP($U$44,'TAR FIN'!$A$1:$O$85,15,0))</f>
        <v>0</v>
      </c>
      <c r="Y44" s="6"/>
      <c r="Z44" s="6">
        <f ca="1">('TUSD BE'!$AM$12+'TUSD BF'!$AM$12+'TUSD CVA'!$AM$12)*1</f>
        <v>126.58207043299907</v>
      </c>
      <c r="AA44" s="6"/>
      <c r="AB44" s="6">
        <f>$K$44*$V$44</f>
        <v>0</v>
      </c>
      <c r="AC44" s="6">
        <f>$M$44*$W$44</f>
        <v>77617.93968000001</v>
      </c>
      <c r="AD44" s="6">
        <f>$O$44*$X$44</f>
        <v>0</v>
      </c>
      <c r="AE44" s="6">
        <f>$K$44*$Y$44</f>
        <v>0</v>
      </c>
      <c r="AF44" s="6">
        <f ca="1">$M$44*$Z$44</f>
        <v>105103.11839364606</v>
      </c>
      <c r="AG44" s="6">
        <f>$O$44*$AA$44</f>
        <v>0</v>
      </c>
    </row>
    <row r="45" spans="1:33" ht="11.25" customHeight="1" x14ac:dyDescent="0.3">
      <c r="A45" s="4" t="s">
        <v>21</v>
      </c>
      <c r="B45" s="4" t="s">
        <v>38</v>
      </c>
      <c r="C45" s="4" t="s">
        <v>39</v>
      </c>
      <c r="D45" s="4" t="s">
        <v>49</v>
      </c>
      <c r="E45" s="4" t="s">
        <v>25</v>
      </c>
      <c r="F45" s="4" t="s">
        <v>50</v>
      </c>
      <c r="G45" s="4" t="s">
        <v>25</v>
      </c>
      <c r="H45" s="4" t="s">
        <v>34</v>
      </c>
      <c r="I45" s="5">
        <v>44652</v>
      </c>
      <c r="J45" s="6">
        <v>0</v>
      </c>
      <c r="K45" s="6">
        <v>0</v>
      </c>
      <c r="L45" s="6">
        <v>790.26300000000003</v>
      </c>
      <c r="M45" s="6">
        <v>790.26300000000003</v>
      </c>
      <c r="N45" s="6">
        <v>0</v>
      </c>
      <c r="O45" s="6">
        <v>0</v>
      </c>
      <c r="P45" s="6">
        <v>0</v>
      </c>
      <c r="Q45" s="4" t="s">
        <v>51</v>
      </c>
      <c r="R45" s="4">
        <v>0</v>
      </c>
      <c r="S45" s="6">
        <v>0</v>
      </c>
      <c r="T45" s="6">
        <v>40</v>
      </c>
      <c r="U45" s="6">
        <v>0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93.48</v>
      </c>
      <c r="X45" s="6">
        <f>IF(ISERROR(VLOOKUP($U$45,'TAR FIN'!$A$1:$O$85,15,0)),0,VLOOKUP($U$45,'TAR FIN'!$A$1:$O$85,15,0))</f>
        <v>0</v>
      </c>
      <c r="Y45" s="6"/>
      <c r="Z45" s="6">
        <f ca="1">('TUSD BE'!$AM$12+'TUSD BF'!$AM$12+'TUSD CVA'!$AM$12)*1</f>
        <v>126.58207043299907</v>
      </c>
      <c r="AA45" s="6"/>
      <c r="AB45" s="6">
        <f>$K$45*$V$45</f>
        <v>0</v>
      </c>
      <c r="AC45" s="6">
        <f>$M$45*$W$45</f>
        <v>73873.785240000012</v>
      </c>
      <c r="AD45" s="6">
        <f>$O$45*$X$45</f>
        <v>0</v>
      </c>
      <c r="AE45" s="6">
        <f>$K$45*$Y$45</f>
        <v>0</v>
      </c>
      <c r="AF45" s="6">
        <f ca="1">$M$45*$Z$45</f>
        <v>100033.12672659315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38</v>
      </c>
      <c r="C46" s="4" t="s">
        <v>39</v>
      </c>
      <c r="D46" s="4" t="s">
        <v>49</v>
      </c>
      <c r="E46" s="4" t="s">
        <v>25</v>
      </c>
      <c r="F46" s="4" t="s">
        <v>50</v>
      </c>
      <c r="G46" s="4" t="s">
        <v>25</v>
      </c>
      <c r="H46" s="4" t="s">
        <v>34</v>
      </c>
      <c r="I46" s="5">
        <v>44682</v>
      </c>
      <c r="J46" s="6">
        <v>0</v>
      </c>
      <c r="K46" s="6">
        <v>0</v>
      </c>
      <c r="L46" s="6">
        <v>822.077</v>
      </c>
      <c r="M46" s="6">
        <v>822.077</v>
      </c>
      <c r="N46" s="6">
        <v>0</v>
      </c>
      <c r="O46" s="6">
        <v>0</v>
      </c>
      <c r="P46" s="6">
        <v>0</v>
      </c>
      <c r="Q46" s="4" t="s">
        <v>51</v>
      </c>
      <c r="R46" s="4">
        <v>0</v>
      </c>
      <c r="S46" s="6">
        <v>0</v>
      </c>
      <c r="T46" s="6">
        <v>40</v>
      </c>
      <c r="U46" s="6">
        <v>0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93.48</v>
      </c>
      <c r="X46" s="6">
        <f>IF(ISERROR(VLOOKUP($U$46,'TAR FIN'!$A$1:$O$85,15,0)),0,VLOOKUP($U$46,'TAR FIN'!$A$1:$O$85,15,0))</f>
        <v>0</v>
      </c>
      <c r="Y46" s="6"/>
      <c r="Z46" s="6">
        <f ca="1">('TUSD BE'!$AM$12+'TUSD BF'!$AM$12+'TUSD CVA'!$AM$12)*1</f>
        <v>126.58207043299907</v>
      </c>
      <c r="AA46" s="6"/>
      <c r="AB46" s="6">
        <f>$K$46*$V$46</f>
        <v>0</v>
      </c>
      <c r="AC46" s="6">
        <f>$M$46*$W$46</f>
        <v>76847.757960000003</v>
      </c>
      <c r="AD46" s="6">
        <f>$O$46*$X$46</f>
        <v>0</v>
      </c>
      <c r="AE46" s="6">
        <f>$K$46*$Y$46</f>
        <v>0</v>
      </c>
      <c r="AF46" s="6">
        <f ca="1">$M$46*$Z$46</f>
        <v>104060.20871534858</v>
      </c>
      <c r="AG46" s="6">
        <f>$O$46*$AA$46</f>
        <v>0</v>
      </c>
    </row>
    <row r="47" spans="1:33" ht="11.25" customHeight="1" x14ac:dyDescent="0.3">
      <c r="A47" s="4" t="s">
        <v>21</v>
      </c>
      <c r="B47" s="4" t="s">
        <v>38</v>
      </c>
      <c r="C47" s="4" t="s">
        <v>39</v>
      </c>
      <c r="D47" s="4" t="s">
        <v>49</v>
      </c>
      <c r="E47" s="4" t="s">
        <v>25</v>
      </c>
      <c r="F47" s="4" t="s">
        <v>50</v>
      </c>
      <c r="G47" s="4" t="s">
        <v>25</v>
      </c>
      <c r="H47" s="4" t="s">
        <v>34</v>
      </c>
      <c r="I47" s="5">
        <v>44713</v>
      </c>
      <c r="J47" s="6">
        <v>0</v>
      </c>
      <c r="K47" s="6">
        <v>0</v>
      </c>
      <c r="L47" s="6">
        <v>778.07399999999996</v>
      </c>
      <c r="M47" s="6">
        <v>778.07399999999996</v>
      </c>
      <c r="N47" s="6">
        <v>0</v>
      </c>
      <c r="O47" s="6">
        <v>0</v>
      </c>
      <c r="P47" s="6">
        <v>0</v>
      </c>
      <c r="Q47" s="4" t="s">
        <v>51</v>
      </c>
      <c r="R47" s="4">
        <v>0</v>
      </c>
      <c r="S47" s="6">
        <v>0</v>
      </c>
      <c r="T47" s="6">
        <v>40</v>
      </c>
      <c r="U47" s="6">
        <v>0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93.48</v>
      </c>
      <c r="X47" s="6">
        <f>IF(ISERROR(VLOOKUP($U$47,'TAR FIN'!$A$1:$O$85,15,0)),0,VLOOKUP($U$47,'TAR FIN'!$A$1:$O$85,15,0))</f>
        <v>0</v>
      </c>
      <c r="Y47" s="6"/>
      <c r="Z47" s="6">
        <f ca="1">('TUSD BE'!$AM$12+'TUSD BF'!$AM$12+'TUSD CVA'!$AM$12)*1</f>
        <v>126.58207043299907</v>
      </c>
      <c r="AA47" s="6"/>
      <c r="AB47" s="6">
        <f>$K$47*$V$47</f>
        <v>0</v>
      </c>
      <c r="AC47" s="6">
        <f>$M$47*$W$47</f>
        <v>72734.357520000005</v>
      </c>
      <c r="AD47" s="6">
        <f>$O$47*$X$47</f>
        <v>0</v>
      </c>
      <c r="AE47" s="6">
        <f>$K$47*$Y$47</f>
        <v>0</v>
      </c>
      <c r="AF47" s="6">
        <f ca="1">$M$47*$Z$47</f>
        <v>98490.217870085311</v>
      </c>
      <c r="AG47" s="6">
        <f>$O$47*$AA$47</f>
        <v>0</v>
      </c>
    </row>
    <row r="48" spans="1:33" ht="11.25" customHeight="1" x14ac:dyDescent="0.3">
      <c r="A48" s="4" t="s">
        <v>21</v>
      </c>
      <c r="B48" s="4" t="s">
        <v>38</v>
      </c>
      <c r="C48" s="4" t="s">
        <v>39</v>
      </c>
      <c r="D48" s="4" t="s">
        <v>49</v>
      </c>
      <c r="E48" s="4" t="s">
        <v>25</v>
      </c>
      <c r="F48" s="4" t="s">
        <v>50</v>
      </c>
      <c r="G48" s="4" t="s">
        <v>25</v>
      </c>
      <c r="H48" s="4" t="s">
        <v>34</v>
      </c>
      <c r="I48" s="5">
        <v>44743</v>
      </c>
      <c r="J48" s="6">
        <v>0</v>
      </c>
      <c r="K48" s="6">
        <v>0</v>
      </c>
      <c r="L48" s="6">
        <v>897.19799999999998</v>
      </c>
      <c r="M48" s="6">
        <v>897.19799999999998</v>
      </c>
      <c r="N48" s="6">
        <v>0</v>
      </c>
      <c r="O48" s="6">
        <v>0</v>
      </c>
      <c r="P48" s="6">
        <v>0</v>
      </c>
      <c r="Q48" s="4" t="s">
        <v>51</v>
      </c>
      <c r="R48" s="4">
        <v>0</v>
      </c>
      <c r="S48" s="6">
        <v>0</v>
      </c>
      <c r="T48" s="6">
        <v>40</v>
      </c>
      <c r="U48" s="6">
        <v>0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93.48</v>
      </c>
      <c r="X48" s="6">
        <f>IF(ISERROR(VLOOKUP($U$48,'TAR FIN'!$A$1:$O$85,15,0)),0,VLOOKUP($U$48,'TAR FIN'!$A$1:$O$85,15,0))</f>
        <v>0</v>
      </c>
      <c r="Y48" s="6"/>
      <c r="Z48" s="6">
        <f ca="1">('TUSD BE'!$AM$12+'TUSD BF'!$AM$12+'TUSD CVA'!$AM$12)*1</f>
        <v>126.58207043299907</v>
      </c>
      <c r="AA48" s="6"/>
      <c r="AB48" s="6">
        <f>$K$48*$V$48</f>
        <v>0</v>
      </c>
      <c r="AC48" s="6">
        <f>$M$48*$W$48</f>
        <v>83870.069040000002</v>
      </c>
      <c r="AD48" s="6">
        <f>$O$48*$X$48</f>
        <v>0</v>
      </c>
      <c r="AE48" s="6">
        <f>$K$48*$Y$48</f>
        <v>0</v>
      </c>
      <c r="AF48" s="6">
        <f ca="1">$M$48*$Z$48</f>
        <v>113569.18042834591</v>
      </c>
      <c r="AG48" s="6">
        <f>$O$48*$AA$48</f>
        <v>0</v>
      </c>
    </row>
    <row r="49" spans="1:33" ht="11.25" customHeight="1" x14ac:dyDescent="0.3">
      <c r="A49" s="4" t="s">
        <v>21</v>
      </c>
      <c r="B49" s="4" t="s">
        <v>38</v>
      </c>
      <c r="C49" s="4" t="s">
        <v>39</v>
      </c>
      <c r="D49" s="4" t="s">
        <v>49</v>
      </c>
      <c r="E49" s="4" t="s">
        <v>25</v>
      </c>
      <c r="F49" s="4" t="s">
        <v>50</v>
      </c>
      <c r="G49" s="4" t="s">
        <v>25</v>
      </c>
      <c r="H49" s="4" t="s">
        <v>34</v>
      </c>
      <c r="I49" s="5">
        <v>44774</v>
      </c>
      <c r="J49" s="6">
        <v>0</v>
      </c>
      <c r="K49" s="6">
        <v>0</v>
      </c>
      <c r="L49" s="6">
        <v>874.66499999999996</v>
      </c>
      <c r="M49" s="6">
        <v>874.66499999999996</v>
      </c>
      <c r="N49" s="6">
        <v>0</v>
      </c>
      <c r="O49" s="6">
        <v>0</v>
      </c>
      <c r="P49" s="6">
        <v>0</v>
      </c>
      <c r="Q49" s="4" t="s">
        <v>51</v>
      </c>
      <c r="R49" s="4">
        <v>0</v>
      </c>
      <c r="S49" s="6">
        <v>0</v>
      </c>
      <c r="T49" s="6">
        <v>40</v>
      </c>
      <c r="U49" s="6">
        <v>0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93.48</v>
      </c>
      <c r="X49" s="6">
        <f>IF(ISERROR(VLOOKUP($U$49,'TAR FIN'!$A$1:$O$85,15,0)),0,VLOOKUP($U$49,'TAR FIN'!$A$1:$O$85,15,0))</f>
        <v>0</v>
      </c>
      <c r="Y49" s="6"/>
      <c r="Z49" s="6">
        <f ca="1">('TUSD BE'!$AM$12+'TUSD BF'!$AM$12+'TUSD CVA'!$AM$12)*1</f>
        <v>126.58207043299907</v>
      </c>
      <c r="AA49" s="6"/>
      <c r="AB49" s="6">
        <f>$K$49*$V$49</f>
        <v>0</v>
      </c>
      <c r="AC49" s="6">
        <f>$M$49*$W$49</f>
        <v>81763.684200000003</v>
      </c>
      <c r="AD49" s="6">
        <f>$O$49*$X$49</f>
        <v>0</v>
      </c>
      <c r="AE49" s="6">
        <f>$K$49*$Y$49</f>
        <v>0</v>
      </c>
      <c r="AF49" s="6">
        <f ca="1">$M$49*$Z$49</f>
        <v>110716.90663527913</v>
      </c>
      <c r="AG49" s="6">
        <f>$O$49*$AA$49</f>
        <v>0</v>
      </c>
    </row>
    <row r="50" spans="1:33" ht="11.25" customHeight="1" x14ac:dyDescent="0.3">
      <c r="A50" s="4" t="s">
        <v>21</v>
      </c>
      <c r="B50" s="4" t="s">
        <v>38</v>
      </c>
      <c r="C50" s="4" t="s">
        <v>39</v>
      </c>
      <c r="D50" s="4" t="s">
        <v>49</v>
      </c>
      <c r="E50" s="4" t="s">
        <v>25</v>
      </c>
      <c r="F50" s="4" t="s">
        <v>50</v>
      </c>
      <c r="G50" s="4" t="s">
        <v>25</v>
      </c>
      <c r="H50" s="4" t="s">
        <v>25</v>
      </c>
      <c r="I50" s="5">
        <v>44440</v>
      </c>
      <c r="J50" s="6">
        <v>2100</v>
      </c>
      <c r="K50" s="6">
        <v>2100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4" t="s">
        <v>51</v>
      </c>
      <c r="R50" s="4">
        <v>0</v>
      </c>
      <c r="S50" s="6">
        <v>47</v>
      </c>
      <c r="T50" s="6">
        <v>0</v>
      </c>
      <c r="U50" s="6">
        <v>0</v>
      </c>
      <c r="V50" s="6">
        <f>IF(ISERROR(VLOOKUP($S$50,'TAR FIN'!$A$1:$O$85,15,0)),0,VLOOKUP($S$50,'TAR FIN'!$A$1:$O$85,15,0))</f>
        <v>29.84</v>
      </c>
      <c r="W50" s="6">
        <f>IF(ISERROR(VLOOKUP($T$50,'TAR FIN'!$A$1:$O$85,15,0)),0,VLOOKUP($T$50,'TAR FIN'!$A$1:$O$85,15,0))</f>
        <v>0</v>
      </c>
      <c r="X50" s="6">
        <f>IF(ISERROR(VLOOKUP($U$50,'TAR FIN'!$A$1:$O$85,15,0)),0,VLOOKUP($U$50,'TAR FIN'!$A$1:$O$85,15,0))</f>
        <v>0</v>
      </c>
      <c r="Y50" s="6">
        <f ca="1">('TUSD BE'!$AM$10+'TUSD BF'!$AM$10+'TUSD CVA'!$AM$10)*1</f>
        <v>32.209574164280724</v>
      </c>
      <c r="Z50" s="6"/>
      <c r="AA50" s="6"/>
      <c r="AB50" s="6">
        <f>$K$50*$V$50</f>
        <v>62664</v>
      </c>
      <c r="AC50" s="6">
        <f>$M$50*$W$50</f>
        <v>0</v>
      </c>
      <c r="AD50" s="6">
        <f>$O$50*$X$50</f>
        <v>0</v>
      </c>
      <c r="AE50" s="6">
        <f ca="1">$K$50*$Y$50</f>
        <v>67640.105744989516</v>
      </c>
      <c r="AF50" s="6">
        <f>$M$50*$Z$50</f>
        <v>0</v>
      </c>
      <c r="AG50" s="6">
        <f>$O$50*$AA$50</f>
        <v>0</v>
      </c>
    </row>
    <row r="51" spans="1:33" ht="11.25" customHeight="1" x14ac:dyDescent="0.3">
      <c r="A51" s="4" t="s">
        <v>21</v>
      </c>
      <c r="B51" s="4" t="s">
        <v>38</v>
      </c>
      <c r="C51" s="4" t="s">
        <v>39</v>
      </c>
      <c r="D51" s="4" t="s">
        <v>49</v>
      </c>
      <c r="E51" s="4" t="s">
        <v>25</v>
      </c>
      <c r="F51" s="4" t="s">
        <v>50</v>
      </c>
      <c r="G51" s="4" t="s">
        <v>25</v>
      </c>
      <c r="H51" s="4" t="s">
        <v>25</v>
      </c>
      <c r="I51" s="5">
        <v>44470</v>
      </c>
      <c r="J51" s="6">
        <v>2100</v>
      </c>
      <c r="K51" s="6">
        <v>2100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4" t="s">
        <v>51</v>
      </c>
      <c r="R51" s="4">
        <v>0</v>
      </c>
      <c r="S51" s="6">
        <v>47</v>
      </c>
      <c r="T51" s="6">
        <v>0</v>
      </c>
      <c r="U51" s="6">
        <v>0</v>
      </c>
      <c r="V51" s="6">
        <f>IF(ISERROR(VLOOKUP($S$51,'TAR FIN'!$A$1:$O$85,15,0)),0,VLOOKUP($S$51,'TAR FIN'!$A$1:$O$85,15,0))</f>
        <v>29.84</v>
      </c>
      <c r="W51" s="6">
        <f>IF(ISERROR(VLOOKUP($T$51,'TAR FIN'!$A$1:$O$85,15,0)),0,VLOOKUP($T$51,'TAR FIN'!$A$1:$O$85,15,0))</f>
        <v>0</v>
      </c>
      <c r="X51" s="6">
        <f>IF(ISERROR(VLOOKUP($U$51,'TAR FIN'!$A$1:$O$85,15,0)),0,VLOOKUP($U$51,'TAR FIN'!$A$1:$O$85,15,0))</f>
        <v>0</v>
      </c>
      <c r="Y51" s="6">
        <f ca="1">('TUSD BE'!$AM$10+'TUSD BF'!$AM$10+'TUSD CVA'!$AM$10)*1</f>
        <v>32.209574164280724</v>
      </c>
      <c r="Z51" s="6"/>
      <c r="AA51" s="6"/>
      <c r="AB51" s="6">
        <f>$K$51*$V$51</f>
        <v>62664</v>
      </c>
      <c r="AC51" s="6">
        <f>$M$51*$W$51</f>
        <v>0</v>
      </c>
      <c r="AD51" s="6">
        <f>$O$51*$X$51</f>
        <v>0</v>
      </c>
      <c r="AE51" s="6">
        <f ca="1">$K$51*$Y$51</f>
        <v>67640.105744989516</v>
      </c>
      <c r="AF51" s="6">
        <f>$M$51*$Z$51</f>
        <v>0</v>
      </c>
      <c r="AG51" s="6">
        <f>$O$51*$AA$51</f>
        <v>0</v>
      </c>
    </row>
    <row r="52" spans="1:33" ht="11.25" customHeight="1" x14ac:dyDescent="0.3">
      <c r="A52" s="4" t="s">
        <v>21</v>
      </c>
      <c r="B52" s="4" t="s">
        <v>38</v>
      </c>
      <c r="C52" s="4" t="s">
        <v>39</v>
      </c>
      <c r="D52" s="4" t="s">
        <v>49</v>
      </c>
      <c r="E52" s="4" t="s">
        <v>25</v>
      </c>
      <c r="F52" s="4" t="s">
        <v>50</v>
      </c>
      <c r="G52" s="4" t="s">
        <v>25</v>
      </c>
      <c r="H52" s="4" t="s">
        <v>25</v>
      </c>
      <c r="I52" s="5">
        <v>44501</v>
      </c>
      <c r="J52" s="6">
        <v>2100</v>
      </c>
      <c r="K52" s="6">
        <v>2100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4" t="s">
        <v>51</v>
      </c>
      <c r="R52" s="4">
        <v>0</v>
      </c>
      <c r="S52" s="6">
        <v>47</v>
      </c>
      <c r="T52" s="6">
        <v>0</v>
      </c>
      <c r="U52" s="6">
        <v>0</v>
      </c>
      <c r="V52" s="6">
        <f>IF(ISERROR(VLOOKUP($S$52,'TAR FIN'!$A$1:$O$85,15,0)),0,VLOOKUP($S$52,'TAR FIN'!$A$1:$O$85,15,0))</f>
        <v>29.84</v>
      </c>
      <c r="W52" s="6">
        <f>IF(ISERROR(VLOOKUP($T$52,'TAR FIN'!$A$1:$O$85,15,0)),0,VLOOKUP($T$52,'TAR FIN'!$A$1:$O$85,15,0))</f>
        <v>0</v>
      </c>
      <c r="X52" s="6">
        <f>IF(ISERROR(VLOOKUP($U$52,'TAR FIN'!$A$1:$O$85,15,0)),0,VLOOKUP($U$52,'TAR FIN'!$A$1:$O$85,15,0))</f>
        <v>0</v>
      </c>
      <c r="Y52" s="6">
        <f ca="1">('TUSD BE'!$AM$10+'TUSD BF'!$AM$10+'TUSD CVA'!$AM$10)*1</f>
        <v>32.209574164280724</v>
      </c>
      <c r="Z52" s="6"/>
      <c r="AA52" s="6"/>
      <c r="AB52" s="6">
        <f>$K$52*$V$52</f>
        <v>62664</v>
      </c>
      <c r="AC52" s="6">
        <f>$M$52*$W$52</f>
        <v>0</v>
      </c>
      <c r="AD52" s="6">
        <f>$O$52*$X$52</f>
        <v>0</v>
      </c>
      <c r="AE52" s="6">
        <f ca="1">$K$52*$Y$52</f>
        <v>67640.105744989516</v>
      </c>
      <c r="AF52" s="6">
        <f>$M$52*$Z$52</f>
        <v>0</v>
      </c>
      <c r="AG52" s="6">
        <f>$O$52*$AA$52</f>
        <v>0</v>
      </c>
    </row>
    <row r="53" spans="1:33" ht="11.25" customHeight="1" x14ac:dyDescent="0.3">
      <c r="A53" s="4" t="s">
        <v>21</v>
      </c>
      <c r="B53" s="4" t="s">
        <v>38</v>
      </c>
      <c r="C53" s="4" t="s">
        <v>39</v>
      </c>
      <c r="D53" s="4" t="s">
        <v>49</v>
      </c>
      <c r="E53" s="4" t="s">
        <v>25</v>
      </c>
      <c r="F53" s="4" t="s">
        <v>50</v>
      </c>
      <c r="G53" s="4" t="s">
        <v>25</v>
      </c>
      <c r="H53" s="4" t="s">
        <v>25</v>
      </c>
      <c r="I53" s="5">
        <v>44531</v>
      </c>
      <c r="J53" s="6">
        <v>2100</v>
      </c>
      <c r="K53" s="6">
        <v>2100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4" t="s">
        <v>51</v>
      </c>
      <c r="R53" s="4">
        <v>0</v>
      </c>
      <c r="S53" s="6">
        <v>47</v>
      </c>
      <c r="T53" s="6">
        <v>0</v>
      </c>
      <c r="U53" s="6">
        <v>0</v>
      </c>
      <c r="V53" s="6">
        <f>IF(ISERROR(VLOOKUP($S$53,'TAR FIN'!$A$1:$O$85,15,0)),0,VLOOKUP($S$53,'TAR FIN'!$A$1:$O$85,15,0))</f>
        <v>29.84</v>
      </c>
      <c r="W53" s="6">
        <f>IF(ISERROR(VLOOKUP($T$53,'TAR FIN'!$A$1:$O$85,15,0)),0,VLOOKUP($T$53,'TAR FIN'!$A$1:$O$85,15,0))</f>
        <v>0</v>
      </c>
      <c r="X53" s="6">
        <f>IF(ISERROR(VLOOKUP($U$53,'TAR FIN'!$A$1:$O$85,15,0)),0,VLOOKUP($U$53,'TAR FIN'!$A$1:$O$85,15,0))</f>
        <v>0</v>
      </c>
      <c r="Y53" s="6">
        <f ca="1">('TUSD BE'!$AM$10+'TUSD BF'!$AM$10+'TUSD CVA'!$AM$10)*1</f>
        <v>32.209574164280724</v>
      </c>
      <c r="Z53" s="6"/>
      <c r="AA53" s="6"/>
      <c r="AB53" s="6">
        <f>$K$53*$V$53</f>
        <v>62664</v>
      </c>
      <c r="AC53" s="6">
        <f>$M$53*$W$53</f>
        <v>0</v>
      </c>
      <c r="AD53" s="6">
        <f>$O$53*$X$53</f>
        <v>0</v>
      </c>
      <c r="AE53" s="6">
        <f ca="1">$K$53*$Y$53</f>
        <v>67640.105744989516</v>
      </c>
      <c r="AF53" s="6">
        <f>$M$53*$Z$53</f>
        <v>0</v>
      </c>
      <c r="AG53" s="6">
        <f>$O$53*$AA$53</f>
        <v>0</v>
      </c>
    </row>
    <row r="54" spans="1:33" ht="11.25" customHeight="1" x14ac:dyDescent="0.3">
      <c r="A54" s="4" t="s">
        <v>21</v>
      </c>
      <c r="B54" s="4" t="s">
        <v>38</v>
      </c>
      <c r="C54" s="4" t="s">
        <v>39</v>
      </c>
      <c r="D54" s="4" t="s">
        <v>49</v>
      </c>
      <c r="E54" s="4" t="s">
        <v>25</v>
      </c>
      <c r="F54" s="4" t="s">
        <v>50</v>
      </c>
      <c r="G54" s="4" t="s">
        <v>25</v>
      </c>
      <c r="H54" s="4" t="s">
        <v>25</v>
      </c>
      <c r="I54" s="5">
        <v>44562</v>
      </c>
      <c r="J54" s="6">
        <v>2100</v>
      </c>
      <c r="K54" s="6">
        <v>2100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4" t="s">
        <v>51</v>
      </c>
      <c r="R54" s="4">
        <v>0</v>
      </c>
      <c r="S54" s="6">
        <v>47</v>
      </c>
      <c r="T54" s="6">
        <v>0</v>
      </c>
      <c r="U54" s="6">
        <v>0</v>
      </c>
      <c r="V54" s="6">
        <f>IF(ISERROR(VLOOKUP($S$54,'TAR FIN'!$A$1:$O$85,15,0)),0,VLOOKUP($S$54,'TAR FIN'!$A$1:$O$85,15,0))</f>
        <v>29.84</v>
      </c>
      <c r="W54" s="6">
        <f>IF(ISERROR(VLOOKUP($T$54,'TAR FIN'!$A$1:$O$85,15,0)),0,VLOOKUP($T$54,'TAR FIN'!$A$1:$O$85,15,0))</f>
        <v>0</v>
      </c>
      <c r="X54" s="6">
        <f>IF(ISERROR(VLOOKUP($U$54,'TAR FIN'!$A$1:$O$85,15,0)),0,VLOOKUP($U$54,'TAR FIN'!$A$1:$O$85,15,0))</f>
        <v>0</v>
      </c>
      <c r="Y54" s="6">
        <f ca="1">('TUSD BE'!$AM$10+'TUSD BF'!$AM$10+'TUSD CVA'!$AM$10)*1</f>
        <v>32.209574164280724</v>
      </c>
      <c r="Z54" s="6"/>
      <c r="AA54" s="6"/>
      <c r="AB54" s="6">
        <f>$K$54*$V$54</f>
        <v>62664</v>
      </c>
      <c r="AC54" s="6">
        <f>$M$54*$W$54</f>
        <v>0</v>
      </c>
      <c r="AD54" s="6">
        <f>$O$54*$X$54</f>
        <v>0</v>
      </c>
      <c r="AE54" s="6">
        <f ca="1">$K$54*$Y$54</f>
        <v>67640.105744989516</v>
      </c>
      <c r="AF54" s="6">
        <f>$M$54*$Z$54</f>
        <v>0</v>
      </c>
      <c r="AG54" s="6">
        <f>$O$54*$AA$54</f>
        <v>0</v>
      </c>
    </row>
    <row r="55" spans="1:33" ht="11.25" customHeight="1" x14ac:dyDescent="0.3">
      <c r="A55" s="4" t="s">
        <v>21</v>
      </c>
      <c r="B55" s="4" t="s">
        <v>38</v>
      </c>
      <c r="C55" s="4" t="s">
        <v>39</v>
      </c>
      <c r="D55" s="4" t="s">
        <v>49</v>
      </c>
      <c r="E55" s="4" t="s">
        <v>25</v>
      </c>
      <c r="F55" s="4" t="s">
        <v>50</v>
      </c>
      <c r="G55" s="4" t="s">
        <v>25</v>
      </c>
      <c r="H55" s="4" t="s">
        <v>25</v>
      </c>
      <c r="I55" s="5">
        <v>44593</v>
      </c>
      <c r="J55" s="6">
        <v>2100</v>
      </c>
      <c r="K55" s="6">
        <v>1055.973387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4" t="s">
        <v>51</v>
      </c>
      <c r="R55" s="4">
        <v>0</v>
      </c>
      <c r="S55" s="6">
        <v>47</v>
      </c>
      <c r="T55" s="6">
        <v>0</v>
      </c>
      <c r="U55" s="6">
        <v>0</v>
      </c>
      <c r="V55" s="6">
        <f>IF(ISERROR(VLOOKUP($S$55,'TAR FIN'!$A$1:$O$85,15,0)),0,VLOOKUP($S$55,'TAR FIN'!$A$1:$O$85,15,0))</f>
        <v>29.84</v>
      </c>
      <c r="W55" s="6">
        <f>IF(ISERROR(VLOOKUP($T$55,'TAR FIN'!$A$1:$O$85,15,0)),0,VLOOKUP($T$55,'TAR FIN'!$A$1:$O$85,15,0))</f>
        <v>0</v>
      </c>
      <c r="X55" s="6">
        <f>IF(ISERROR(VLOOKUP($U$55,'TAR FIN'!$A$1:$O$85,15,0)),0,VLOOKUP($U$55,'TAR FIN'!$A$1:$O$85,15,0))</f>
        <v>0</v>
      </c>
      <c r="Y55" s="6">
        <f ca="1">('TUSD BE'!$AM$10+'TUSD BF'!$AM$10+'TUSD CVA'!$AM$10)*1</f>
        <v>32.209574164280724</v>
      </c>
      <c r="Z55" s="6"/>
      <c r="AA55" s="6"/>
      <c r="AB55" s="6">
        <f>$K$55*$V$55</f>
        <v>31510.245868080001</v>
      </c>
      <c r="AC55" s="6">
        <f>$M$55*$W$55</f>
        <v>0</v>
      </c>
      <c r="AD55" s="6">
        <f>$O$55*$X$55</f>
        <v>0</v>
      </c>
      <c r="AE55" s="6">
        <f ca="1">$K$55*$Y$55</f>
        <v>34012.453124083208</v>
      </c>
      <c r="AF55" s="6">
        <f>$M$55*$Z$55</f>
        <v>0</v>
      </c>
      <c r="AG55" s="6">
        <f>$O$55*$AA$55</f>
        <v>0</v>
      </c>
    </row>
    <row r="56" spans="1:33" ht="11.25" customHeight="1" x14ac:dyDescent="0.3">
      <c r="A56" s="4" t="s">
        <v>21</v>
      </c>
      <c r="B56" s="4" t="s">
        <v>38</v>
      </c>
      <c r="C56" s="4" t="s">
        <v>39</v>
      </c>
      <c r="D56" s="4" t="s">
        <v>49</v>
      </c>
      <c r="E56" s="4" t="s">
        <v>25</v>
      </c>
      <c r="F56" s="4" t="s">
        <v>50</v>
      </c>
      <c r="G56" s="4" t="s">
        <v>25</v>
      </c>
      <c r="H56" s="4" t="s">
        <v>25</v>
      </c>
      <c r="I56" s="5">
        <v>44621</v>
      </c>
      <c r="J56" s="6">
        <v>2100</v>
      </c>
      <c r="K56" s="6">
        <v>1054.466322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4" t="s">
        <v>51</v>
      </c>
      <c r="R56" s="4">
        <v>0</v>
      </c>
      <c r="S56" s="6">
        <v>47</v>
      </c>
      <c r="T56" s="6">
        <v>0</v>
      </c>
      <c r="U56" s="6">
        <v>0</v>
      </c>
      <c r="V56" s="6">
        <f>IF(ISERROR(VLOOKUP($S$56,'TAR FIN'!$A$1:$O$85,15,0)),0,VLOOKUP($S$56,'TAR FIN'!$A$1:$O$85,15,0))</f>
        <v>29.84</v>
      </c>
      <c r="W56" s="6">
        <f>IF(ISERROR(VLOOKUP($T$56,'TAR FIN'!$A$1:$O$85,15,0)),0,VLOOKUP($T$56,'TAR FIN'!$A$1:$O$85,15,0))</f>
        <v>0</v>
      </c>
      <c r="X56" s="6">
        <f>IF(ISERROR(VLOOKUP($U$56,'TAR FIN'!$A$1:$O$85,15,0)),0,VLOOKUP($U$56,'TAR FIN'!$A$1:$O$85,15,0))</f>
        <v>0</v>
      </c>
      <c r="Y56" s="6">
        <f ca="1">('TUSD BE'!$AM$10+'TUSD BF'!$AM$10+'TUSD CVA'!$AM$10)*1</f>
        <v>32.209574164280724</v>
      </c>
      <c r="Z56" s="6"/>
      <c r="AA56" s="6"/>
      <c r="AB56" s="6">
        <f>$K$56*$V$56</f>
        <v>31465.275048479998</v>
      </c>
      <c r="AC56" s="6">
        <f>$M$56*$W$56</f>
        <v>0</v>
      </c>
      <c r="AD56" s="6">
        <f>$O$56*$X$56</f>
        <v>0</v>
      </c>
      <c r="AE56" s="6">
        <f ca="1">$K$56*$Y$56</f>
        <v>33963.911202195319</v>
      </c>
      <c r="AF56" s="6">
        <f>$M$56*$Z$56</f>
        <v>0</v>
      </c>
      <c r="AG56" s="6">
        <f>$O$56*$AA$56</f>
        <v>0</v>
      </c>
    </row>
    <row r="57" spans="1:33" ht="11.25" customHeight="1" x14ac:dyDescent="0.3">
      <c r="A57" s="4" t="s">
        <v>21</v>
      </c>
      <c r="B57" s="4" t="s">
        <v>38</v>
      </c>
      <c r="C57" s="4" t="s">
        <v>39</v>
      </c>
      <c r="D57" s="4" t="s">
        <v>49</v>
      </c>
      <c r="E57" s="4" t="s">
        <v>25</v>
      </c>
      <c r="F57" s="4" t="s">
        <v>50</v>
      </c>
      <c r="G57" s="4" t="s">
        <v>25</v>
      </c>
      <c r="H57" s="4" t="s">
        <v>25</v>
      </c>
      <c r="I57" s="5">
        <v>44652</v>
      </c>
      <c r="J57" s="6">
        <v>2100</v>
      </c>
      <c r="K57" s="6">
        <v>1052.4575460000001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4" t="s">
        <v>51</v>
      </c>
      <c r="R57" s="4">
        <v>0</v>
      </c>
      <c r="S57" s="6">
        <v>47</v>
      </c>
      <c r="T57" s="6">
        <v>0</v>
      </c>
      <c r="U57" s="6">
        <v>0</v>
      </c>
      <c r="V57" s="6">
        <f>IF(ISERROR(VLOOKUP($S$57,'TAR FIN'!$A$1:$O$85,15,0)),0,VLOOKUP($S$57,'TAR FIN'!$A$1:$O$85,15,0))</f>
        <v>29.84</v>
      </c>
      <c r="W57" s="6">
        <f>IF(ISERROR(VLOOKUP($T$57,'TAR FIN'!$A$1:$O$85,15,0)),0,VLOOKUP($T$57,'TAR FIN'!$A$1:$O$85,15,0))</f>
        <v>0</v>
      </c>
      <c r="X57" s="6">
        <f>IF(ISERROR(VLOOKUP($U$57,'TAR FIN'!$A$1:$O$85,15,0)),0,VLOOKUP($U$57,'TAR FIN'!$A$1:$O$85,15,0))</f>
        <v>0</v>
      </c>
      <c r="Y57" s="6">
        <f ca="1">('TUSD BE'!$AM$10+'TUSD BF'!$AM$10+'TUSD CVA'!$AM$10)*1</f>
        <v>32.209574164280724</v>
      </c>
      <c r="Z57" s="6"/>
      <c r="AA57" s="6"/>
      <c r="AB57" s="6">
        <f>$K$57*$V$57</f>
        <v>31405.333172640003</v>
      </c>
      <c r="AC57" s="6">
        <f>$M$57*$W$57</f>
        <v>0</v>
      </c>
      <c r="AD57" s="6">
        <f>$O$57*$X$57</f>
        <v>0</v>
      </c>
      <c r="AE57" s="6">
        <f ca="1">$K$57*$Y$57</f>
        <v>33899.209382643894</v>
      </c>
      <c r="AF57" s="6">
        <f>$M$57*$Z$57</f>
        <v>0</v>
      </c>
      <c r="AG57" s="6">
        <f>$O$57*$AA$57</f>
        <v>0</v>
      </c>
    </row>
    <row r="58" spans="1:33" ht="11.25" customHeight="1" x14ac:dyDescent="0.3">
      <c r="A58" s="4" t="s">
        <v>21</v>
      </c>
      <c r="B58" s="4" t="s">
        <v>38</v>
      </c>
      <c r="C58" s="4" t="s">
        <v>39</v>
      </c>
      <c r="D58" s="4" t="s">
        <v>49</v>
      </c>
      <c r="E58" s="4" t="s">
        <v>25</v>
      </c>
      <c r="F58" s="4" t="s">
        <v>50</v>
      </c>
      <c r="G58" s="4" t="s">
        <v>25</v>
      </c>
      <c r="H58" s="4" t="s">
        <v>25</v>
      </c>
      <c r="I58" s="5">
        <v>44682</v>
      </c>
      <c r="J58" s="6">
        <v>2100</v>
      </c>
      <c r="K58" s="6">
        <v>1050.8292899999999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4" t="s">
        <v>51</v>
      </c>
      <c r="R58" s="4">
        <v>0</v>
      </c>
      <c r="S58" s="6">
        <v>47</v>
      </c>
      <c r="T58" s="6">
        <v>0</v>
      </c>
      <c r="U58" s="6">
        <v>0</v>
      </c>
      <c r="V58" s="6">
        <f>IF(ISERROR(VLOOKUP($S$58,'TAR FIN'!$A$1:$O$85,15,0)),0,VLOOKUP($S$58,'TAR FIN'!$A$1:$O$85,15,0))</f>
        <v>29.84</v>
      </c>
      <c r="W58" s="6">
        <f>IF(ISERROR(VLOOKUP($T$58,'TAR FIN'!$A$1:$O$85,15,0)),0,VLOOKUP($T$58,'TAR FIN'!$A$1:$O$85,15,0))</f>
        <v>0</v>
      </c>
      <c r="X58" s="6">
        <f>IF(ISERROR(VLOOKUP($U$58,'TAR FIN'!$A$1:$O$85,15,0)),0,VLOOKUP($U$58,'TAR FIN'!$A$1:$O$85,15,0))</f>
        <v>0</v>
      </c>
      <c r="Y58" s="6">
        <f ca="1">('TUSD BE'!$AM$10+'TUSD BF'!$AM$10+'TUSD CVA'!$AM$10)*1</f>
        <v>32.209574164280724</v>
      </c>
      <c r="Z58" s="6"/>
      <c r="AA58" s="6"/>
      <c r="AB58" s="6">
        <f>$K$58*$V$58</f>
        <v>31356.746013599997</v>
      </c>
      <c r="AC58" s="6">
        <f>$M$58*$W$58</f>
        <v>0</v>
      </c>
      <c r="AD58" s="6">
        <f>$O$58*$X$58</f>
        <v>0</v>
      </c>
      <c r="AE58" s="6">
        <f ca="1">$K$58*$Y$58</f>
        <v>33846.763950253451</v>
      </c>
      <c r="AF58" s="6">
        <f>$M$58*$Z$58</f>
        <v>0</v>
      </c>
      <c r="AG58" s="6">
        <f>$O$58*$AA$58</f>
        <v>0</v>
      </c>
    </row>
    <row r="59" spans="1:33" ht="11.25" customHeight="1" x14ac:dyDescent="0.3">
      <c r="A59" s="4" t="s">
        <v>21</v>
      </c>
      <c r="B59" s="4" t="s">
        <v>38</v>
      </c>
      <c r="C59" s="4" t="s">
        <v>39</v>
      </c>
      <c r="D59" s="4" t="s">
        <v>49</v>
      </c>
      <c r="E59" s="4" t="s">
        <v>25</v>
      </c>
      <c r="F59" s="4" t="s">
        <v>50</v>
      </c>
      <c r="G59" s="4" t="s">
        <v>25</v>
      </c>
      <c r="H59" s="4" t="s">
        <v>25</v>
      </c>
      <c r="I59" s="5">
        <v>44713</v>
      </c>
      <c r="J59" s="6">
        <v>2100</v>
      </c>
      <c r="K59" s="6">
        <v>1050.522354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4" t="s">
        <v>51</v>
      </c>
      <c r="R59" s="4">
        <v>0</v>
      </c>
      <c r="S59" s="6">
        <v>47</v>
      </c>
      <c r="T59" s="6">
        <v>0</v>
      </c>
      <c r="U59" s="6">
        <v>0</v>
      </c>
      <c r="V59" s="6">
        <f>IF(ISERROR(VLOOKUP($S$59,'TAR FIN'!$A$1:$O$85,15,0)),0,VLOOKUP($S$59,'TAR FIN'!$A$1:$O$85,15,0))</f>
        <v>29.84</v>
      </c>
      <c r="W59" s="6">
        <f>IF(ISERROR(VLOOKUP($T$59,'TAR FIN'!$A$1:$O$85,15,0)),0,VLOOKUP($T$59,'TAR FIN'!$A$1:$O$85,15,0))</f>
        <v>0</v>
      </c>
      <c r="X59" s="6">
        <f>IF(ISERROR(VLOOKUP($U$59,'TAR FIN'!$A$1:$O$85,15,0)),0,VLOOKUP($U$59,'TAR FIN'!$A$1:$O$85,15,0))</f>
        <v>0</v>
      </c>
      <c r="Y59" s="6">
        <f ca="1">('TUSD BE'!$AM$10+'TUSD BF'!$AM$10+'TUSD CVA'!$AM$10)*1</f>
        <v>32.209574164280724</v>
      </c>
      <c r="Z59" s="6"/>
      <c r="AA59" s="6"/>
      <c r="AB59" s="6">
        <f>$K$59*$V$59</f>
        <v>31347.587043359999</v>
      </c>
      <c r="AC59" s="6">
        <f>$M$59*$W$59</f>
        <v>0</v>
      </c>
      <c r="AD59" s="6">
        <f>$O$59*$X$59</f>
        <v>0</v>
      </c>
      <c r="AE59" s="6">
        <f ca="1">$K$59*$Y$59</f>
        <v>33836.877672397764</v>
      </c>
      <c r="AF59" s="6">
        <f>$M$59*$Z$59</f>
        <v>0</v>
      </c>
      <c r="AG59" s="6">
        <f>$O$59*$AA$59</f>
        <v>0</v>
      </c>
    </row>
    <row r="60" spans="1:33" ht="11.25" customHeight="1" x14ac:dyDescent="0.3">
      <c r="A60" s="4" t="s">
        <v>21</v>
      </c>
      <c r="B60" s="4" t="s">
        <v>38</v>
      </c>
      <c r="C60" s="4" t="s">
        <v>39</v>
      </c>
      <c r="D60" s="4" t="s">
        <v>49</v>
      </c>
      <c r="E60" s="4" t="s">
        <v>25</v>
      </c>
      <c r="F60" s="4" t="s">
        <v>50</v>
      </c>
      <c r="G60" s="4" t="s">
        <v>25</v>
      </c>
      <c r="H60" s="4" t="s">
        <v>25</v>
      </c>
      <c r="I60" s="5">
        <v>44743</v>
      </c>
      <c r="J60" s="6">
        <v>2100</v>
      </c>
      <c r="K60" s="6">
        <v>1050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4" t="s">
        <v>51</v>
      </c>
      <c r="R60" s="4">
        <v>0</v>
      </c>
      <c r="S60" s="6">
        <v>47</v>
      </c>
      <c r="T60" s="6">
        <v>0</v>
      </c>
      <c r="U60" s="6">
        <v>0</v>
      </c>
      <c r="V60" s="6">
        <f>IF(ISERROR(VLOOKUP($S$60,'TAR FIN'!$A$1:$O$85,15,0)),0,VLOOKUP($S$60,'TAR FIN'!$A$1:$O$85,15,0))</f>
        <v>29.84</v>
      </c>
      <c r="W60" s="6">
        <f>IF(ISERROR(VLOOKUP($T$60,'TAR FIN'!$A$1:$O$85,15,0)),0,VLOOKUP($T$60,'TAR FIN'!$A$1:$O$85,15,0))</f>
        <v>0</v>
      </c>
      <c r="X60" s="6">
        <f>IF(ISERROR(VLOOKUP($U$60,'TAR FIN'!$A$1:$O$85,15,0)),0,VLOOKUP($U$60,'TAR FIN'!$A$1:$O$85,15,0))</f>
        <v>0</v>
      </c>
      <c r="Y60" s="6">
        <f ca="1">('TUSD BE'!$AM$10+'TUSD BF'!$AM$10+'TUSD CVA'!$AM$10)*1</f>
        <v>32.209574164280724</v>
      </c>
      <c r="Z60" s="6"/>
      <c r="AA60" s="6"/>
      <c r="AB60" s="6">
        <f>$K$60*$V$60</f>
        <v>31332</v>
      </c>
      <c r="AC60" s="6">
        <f>$M$60*$W$60</f>
        <v>0</v>
      </c>
      <c r="AD60" s="6">
        <f>$O$60*$X$60</f>
        <v>0</v>
      </c>
      <c r="AE60" s="6">
        <f ca="1">$K$60*$Y$60</f>
        <v>33820.052872494758</v>
      </c>
      <c r="AF60" s="6">
        <f>$M$60*$Z$60</f>
        <v>0</v>
      </c>
      <c r="AG60" s="6">
        <f>$O$60*$AA$60</f>
        <v>0</v>
      </c>
    </row>
    <row r="61" spans="1:33" ht="11.25" customHeight="1" x14ac:dyDescent="0.3">
      <c r="A61" s="4" t="s">
        <v>21</v>
      </c>
      <c r="B61" s="4" t="s">
        <v>38</v>
      </c>
      <c r="C61" s="4" t="s">
        <v>39</v>
      </c>
      <c r="D61" s="4" t="s">
        <v>49</v>
      </c>
      <c r="E61" s="4" t="s">
        <v>25</v>
      </c>
      <c r="F61" s="4" t="s">
        <v>50</v>
      </c>
      <c r="G61" s="4" t="s">
        <v>25</v>
      </c>
      <c r="H61" s="4" t="s">
        <v>25</v>
      </c>
      <c r="I61" s="5">
        <v>44774</v>
      </c>
      <c r="J61" s="6">
        <v>2100</v>
      </c>
      <c r="K61" s="6">
        <v>1050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4" t="s">
        <v>51</v>
      </c>
      <c r="R61" s="4">
        <v>0</v>
      </c>
      <c r="S61" s="6">
        <v>47</v>
      </c>
      <c r="T61" s="6">
        <v>0</v>
      </c>
      <c r="U61" s="6">
        <v>0</v>
      </c>
      <c r="V61" s="6">
        <f>IF(ISERROR(VLOOKUP($S$61,'TAR FIN'!$A$1:$O$85,15,0)),0,VLOOKUP($S$61,'TAR FIN'!$A$1:$O$85,15,0))</f>
        <v>29.84</v>
      </c>
      <c r="W61" s="6">
        <f>IF(ISERROR(VLOOKUP($T$61,'TAR FIN'!$A$1:$O$85,15,0)),0,VLOOKUP($T$61,'TAR FIN'!$A$1:$O$85,15,0))</f>
        <v>0</v>
      </c>
      <c r="X61" s="6">
        <f>IF(ISERROR(VLOOKUP($U$61,'TAR FIN'!$A$1:$O$85,15,0)),0,VLOOKUP($U$61,'TAR FIN'!$A$1:$O$85,15,0))</f>
        <v>0</v>
      </c>
      <c r="Y61" s="6">
        <f ca="1">('TUSD BE'!$AM$10+'TUSD BF'!$AM$10+'TUSD CVA'!$AM$10)*1</f>
        <v>32.209574164280724</v>
      </c>
      <c r="Z61" s="6"/>
      <c r="AA61" s="6"/>
      <c r="AB61" s="6">
        <f>$K$61*$V$61</f>
        <v>31332</v>
      </c>
      <c r="AC61" s="6">
        <f>$M$61*$W$61</f>
        <v>0</v>
      </c>
      <c r="AD61" s="6">
        <f>$O$61*$X$61</f>
        <v>0</v>
      </c>
      <c r="AE61" s="6">
        <f ca="1">$K$61*$Y$61</f>
        <v>33820.052872494758</v>
      </c>
      <c r="AF61" s="6">
        <f>$M$61*$Z$61</f>
        <v>0</v>
      </c>
      <c r="AG61" s="6">
        <f>$O$61*$AA$61</f>
        <v>0</v>
      </c>
    </row>
    <row r="62" spans="1:33" ht="11.25" customHeight="1" x14ac:dyDescent="0.3">
      <c r="A62" s="4" t="s">
        <v>21</v>
      </c>
      <c r="B62" s="4" t="s">
        <v>38</v>
      </c>
      <c r="C62" s="4" t="s">
        <v>39</v>
      </c>
      <c r="D62" s="4" t="s">
        <v>49</v>
      </c>
      <c r="E62" s="4" t="s">
        <v>25</v>
      </c>
      <c r="F62" s="4" t="s">
        <v>50</v>
      </c>
      <c r="G62" s="4" t="s">
        <v>25</v>
      </c>
      <c r="H62" s="4" t="s">
        <v>40</v>
      </c>
      <c r="I62" s="5">
        <v>44440</v>
      </c>
      <c r="J62" s="6">
        <v>0</v>
      </c>
      <c r="K62" s="6">
        <v>0</v>
      </c>
      <c r="L62" s="6">
        <v>86.004000000000005</v>
      </c>
      <c r="M62" s="6">
        <v>86.004000000000005</v>
      </c>
      <c r="N62" s="6">
        <v>0</v>
      </c>
      <c r="O62" s="6">
        <v>0</v>
      </c>
      <c r="P62" s="6">
        <v>0</v>
      </c>
      <c r="Q62" s="4" t="s">
        <v>51</v>
      </c>
      <c r="R62" s="4">
        <v>0</v>
      </c>
      <c r="S62" s="6">
        <v>0</v>
      </c>
      <c r="T62" s="6">
        <v>35</v>
      </c>
      <c r="U62" s="6">
        <v>0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2389.5</v>
      </c>
      <c r="X62" s="6">
        <f>IF(ISERROR(VLOOKUP($U$62,'TAR FIN'!$A$1:$O$85,15,0)),0,VLOOKUP($U$62,'TAR FIN'!$A$1:$O$85,15,0))</f>
        <v>0</v>
      </c>
      <c r="Y62" s="6"/>
      <c r="Z62" s="6">
        <f ca="1">('TUSD BE'!$AM$11+'TUSD BF'!$AM$11+'TUSD CVA'!$AM$11)*1</f>
        <v>2536.2721730427174</v>
      </c>
      <c r="AA62" s="6"/>
      <c r="AB62" s="6">
        <f>$K$62*$V$62</f>
        <v>0</v>
      </c>
      <c r="AC62" s="6">
        <f>$M$62*$W$62</f>
        <v>205506.55800000002</v>
      </c>
      <c r="AD62" s="6">
        <f>$O$62*$X$62</f>
        <v>0</v>
      </c>
      <c r="AE62" s="6">
        <f>$K$62*$Y$62</f>
        <v>0</v>
      </c>
      <c r="AF62" s="6">
        <f ca="1">$M$62*$Z$62</f>
        <v>218129.55197036589</v>
      </c>
      <c r="AG62" s="6">
        <f>$O$62*$AA$62</f>
        <v>0</v>
      </c>
    </row>
    <row r="63" spans="1:33" ht="11.25" customHeight="1" x14ac:dyDescent="0.3">
      <c r="A63" s="4" t="s">
        <v>21</v>
      </c>
      <c r="B63" s="4" t="s">
        <v>38</v>
      </c>
      <c r="C63" s="4" t="s">
        <v>39</v>
      </c>
      <c r="D63" s="4" t="s">
        <v>49</v>
      </c>
      <c r="E63" s="4" t="s">
        <v>25</v>
      </c>
      <c r="F63" s="4" t="s">
        <v>50</v>
      </c>
      <c r="G63" s="4" t="s">
        <v>25</v>
      </c>
      <c r="H63" s="4" t="s">
        <v>40</v>
      </c>
      <c r="I63" s="5">
        <v>44470</v>
      </c>
      <c r="J63" s="6">
        <v>0</v>
      </c>
      <c r="K63" s="6">
        <v>0</v>
      </c>
      <c r="L63" s="6">
        <v>72.034999999999997</v>
      </c>
      <c r="M63" s="6">
        <v>72.034999999999997</v>
      </c>
      <c r="N63" s="6">
        <v>0</v>
      </c>
      <c r="O63" s="6">
        <v>0</v>
      </c>
      <c r="P63" s="6">
        <v>0</v>
      </c>
      <c r="Q63" s="4" t="s">
        <v>51</v>
      </c>
      <c r="R63" s="4">
        <v>0</v>
      </c>
      <c r="S63" s="6">
        <v>0</v>
      </c>
      <c r="T63" s="6">
        <v>35</v>
      </c>
      <c r="U63" s="6">
        <v>0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2389.5</v>
      </c>
      <c r="X63" s="6">
        <f>IF(ISERROR(VLOOKUP($U$63,'TAR FIN'!$A$1:$O$85,15,0)),0,VLOOKUP($U$63,'TAR FIN'!$A$1:$O$85,15,0))</f>
        <v>0</v>
      </c>
      <c r="Y63" s="6"/>
      <c r="Z63" s="6">
        <f ca="1">('TUSD BE'!$AM$11+'TUSD BF'!$AM$11+'TUSD CVA'!$AM$11)*1</f>
        <v>2536.2721730427174</v>
      </c>
      <c r="AA63" s="6"/>
      <c r="AB63" s="6">
        <f>$K$63*$V$63</f>
        <v>0</v>
      </c>
      <c r="AC63" s="6">
        <f>$M$63*$W$63</f>
        <v>172127.63249999998</v>
      </c>
      <c r="AD63" s="6">
        <f>$O$63*$X$63</f>
        <v>0</v>
      </c>
      <c r="AE63" s="6">
        <f>$K$63*$Y$63</f>
        <v>0</v>
      </c>
      <c r="AF63" s="6">
        <f ca="1">$M$63*$Z$63</f>
        <v>182700.36598513214</v>
      </c>
      <c r="AG63" s="6">
        <f>$O$63*$AA$63</f>
        <v>0</v>
      </c>
    </row>
    <row r="64" spans="1:33" ht="11.25" customHeight="1" x14ac:dyDescent="0.3">
      <c r="A64" s="4" t="s">
        <v>21</v>
      </c>
      <c r="B64" s="4" t="s">
        <v>38</v>
      </c>
      <c r="C64" s="4" t="s">
        <v>39</v>
      </c>
      <c r="D64" s="4" t="s">
        <v>49</v>
      </c>
      <c r="E64" s="4" t="s">
        <v>25</v>
      </c>
      <c r="F64" s="4" t="s">
        <v>50</v>
      </c>
      <c r="G64" s="4" t="s">
        <v>25</v>
      </c>
      <c r="H64" s="4" t="s">
        <v>40</v>
      </c>
      <c r="I64" s="5">
        <v>44501</v>
      </c>
      <c r="J64" s="6">
        <v>0</v>
      </c>
      <c r="K64" s="6">
        <v>0</v>
      </c>
      <c r="L64" s="6">
        <v>80.399000000000001</v>
      </c>
      <c r="M64" s="6">
        <v>80.399000000000001</v>
      </c>
      <c r="N64" s="6">
        <v>0</v>
      </c>
      <c r="O64" s="6">
        <v>0</v>
      </c>
      <c r="P64" s="6">
        <v>0</v>
      </c>
      <c r="Q64" s="4" t="s">
        <v>51</v>
      </c>
      <c r="R64" s="4">
        <v>0</v>
      </c>
      <c r="S64" s="6">
        <v>0</v>
      </c>
      <c r="T64" s="6">
        <v>35</v>
      </c>
      <c r="U64" s="6">
        <v>0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2389.5</v>
      </c>
      <c r="X64" s="6">
        <f>IF(ISERROR(VLOOKUP($U$64,'TAR FIN'!$A$1:$O$85,15,0)),0,VLOOKUP($U$64,'TAR FIN'!$A$1:$O$85,15,0))</f>
        <v>0</v>
      </c>
      <c r="Y64" s="6"/>
      <c r="Z64" s="6">
        <f ca="1">('TUSD BE'!$AM$11+'TUSD BF'!$AM$11+'TUSD CVA'!$AM$11)*1</f>
        <v>2536.2721730427174</v>
      </c>
      <c r="AA64" s="6"/>
      <c r="AB64" s="6">
        <f>$K$64*$V$64</f>
        <v>0</v>
      </c>
      <c r="AC64" s="6">
        <f>$M$64*$W$64</f>
        <v>192113.4105</v>
      </c>
      <c r="AD64" s="6">
        <f>$O$64*$X$64</f>
        <v>0</v>
      </c>
      <c r="AE64" s="6">
        <f>$K$64*$Y$64</f>
        <v>0</v>
      </c>
      <c r="AF64" s="6">
        <f ca="1">$M$64*$Z$64</f>
        <v>203913.74644046143</v>
      </c>
      <c r="AG64" s="6">
        <f>$O$64*$AA$64</f>
        <v>0</v>
      </c>
    </row>
    <row r="65" spans="1:33" ht="11.25" customHeight="1" x14ac:dyDescent="0.3">
      <c r="A65" s="4" t="s">
        <v>21</v>
      </c>
      <c r="B65" s="4" t="s">
        <v>38</v>
      </c>
      <c r="C65" s="4" t="s">
        <v>39</v>
      </c>
      <c r="D65" s="4" t="s">
        <v>49</v>
      </c>
      <c r="E65" s="4" t="s">
        <v>25</v>
      </c>
      <c r="F65" s="4" t="s">
        <v>50</v>
      </c>
      <c r="G65" s="4" t="s">
        <v>25</v>
      </c>
      <c r="H65" s="4" t="s">
        <v>40</v>
      </c>
      <c r="I65" s="5">
        <v>44531</v>
      </c>
      <c r="J65" s="6">
        <v>0</v>
      </c>
      <c r="K65" s="6">
        <v>0</v>
      </c>
      <c r="L65" s="6">
        <v>92.685000000000002</v>
      </c>
      <c r="M65" s="6">
        <v>92.685000000000002</v>
      </c>
      <c r="N65" s="6">
        <v>0</v>
      </c>
      <c r="O65" s="6">
        <v>0</v>
      </c>
      <c r="P65" s="6">
        <v>0</v>
      </c>
      <c r="Q65" s="4" t="s">
        <v>51</v>
      </c>
      <c r="R65" s="4">
        <v>0</v>
      </c>
      <c r="S65" s="6">
        <v>0</v>
      </c>
      <c r="T65" s="6">
        <v>35</v>
      </c>
      <c r="U65" s="6">
        <v>0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2389.5</v>
      </c>
      <c r="X65" s="6">
        <f>IF(ISERROR(VLOOKUP($U$65,'TAR FIN'!$A$1:$O$85,15,0)),0,VLOOKUP($U$65,'TAR FIN'!$A$1:$O$85,15,0))</f>
        <v>0</v>
      </c>
      <c r="Y65" s="6"/>
      <c r="Z65" s="6">
        <f ca="1">('TUSD BE'!$AM$11+'TUSD BF'!$AM$11+'TUSD CVA'!$AM$11)*1</f>
        <v>2536.2721730427174</v>
      </c>
      <c r="AA65" s="6"/>
      <c r="AB65" s="6">
        <f>$K$65*$V$65</f>
        <v>0</v>
      </c>
      <c r="AC65" s="6">
        <f>$M$65*$W$65</f>
        <v>221470.8075</v>
      </c>
      <c r="AD65" s="6">
        <f>$O$65*$X$65</f>
        <v>0</v>
      </c>
      <c r="AE65" s="6">
        <f>$K$65*$Y$65</f>
        <v>0</v>
      </c>
      <c r="AF65" s="6">
        <f ca="1">$M$65*$Z$65</f>
        <v>235074.38635846428</v>
      </c>
      <c r="AG65" s="6">
        <f>$O$65*$AA$65</f>
        <v>0</v>
      </c>
    </row>
    <row r="66" spans="1:33" ht="11.25" customHeight="1" x14ac:dyDescent="0.3">
      <c r="A66" s="4" t="s">
        <v>21</v>
      </c>
      <c r="B66" s="4" t="s">
        <v>38</v>
      </c>
      <c r="C66" s="4" t="s">
        <v>39</v>
      </c>
      <c r="D66" s="4" t="s">
        <v>49</v>
      </c>
      <c r="E66" s="4" t="s">
        <v>25</v>
      </c>
      <c r="F66" s="4" t="s">
        <v>50</v>
      </c>
      <c r="G66" s="4" t="s">
        <v>25</v>
      </c>
      <c r="H66" s="4" t="s">
        <v>40</v>
      </c>
      <c r="I66" s="5">
        <v>44562</v>
      </c>
      <c r="J66" s="6">
        <v>0</v>
      </c>
      <c r="K66" s="6">
        <v>0</v>
      </c>
      <c r="L66" s="6">
        <v>83.393000000000001</v>
      </c>
      <c r="M66" s="6">
        <v>83.393000000000001</v>
      </c>
      <c r="N66" s="6">
        <v>0</v>
      </c>
      <c r="O66" s="6">
        <v>0</v>
      </c>
      <c r="P66" s="6">
        <v>0</v>
      </c>
      <c r="Q66" s="4" t="s">
        <v>51</v>
      </c>
      <c r="R66" s="4">
        <v>0</v>
      </c>
      <c r="S66" s="6">
        <v>0</v>
      </c>
      <c r="T66" s="6">
        <v>35</v>
      </c>
      <c r="U66" s="6">
        <v>0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2389.5</v>
      </c>
      <c r="X66" s="6">
        <f>IF(ISERROR(VLOOKUP($U$66,'TAR FIN'!$A$1:$O$85,15,0)),0,VLOOKUP($U$66,'TAR FIN'!$A$1:$O$85,15,0))</f>
        <v>0</v>
      </c>
      <c r="Y66" s="6"/>
      <c r="Z66" s="6">
        <f ca="1">('TUSD BE'!$AM$11+'TUSD BF'!$AM$11+'TUSD CVA'!$AM$11)*1</f>
        <v>2536.2721730427174</v>
      </c>
      <c r="AA66" s="6"/>
      <c r="AB66" s="6">
        <f>$K$66*$V$66</f>
        <v>0</v>
      </c>
      <c r="AC66" s="6">
        <f>$M$66*$W$66</f>
        <v>199267.5735</v>
      </c>
      <c r="AD66" s="6">
        <f>$O$66*$X$66</f>
        <v>0</v>
      </c>
      <c r="AE66" s="6">
        <f>$K$66*$Y$66</f>
        <v>0</v>
      </c>
      <c r="AF66" s="6">
        <f ca="1">$M$66*$Z$66</f>
        <v>211507.34532655132</v>
      </c>
      <c r="AG66" s="6">
        <f>$O$66*$AA$66</f>
        <v>0</v>
      </c>
    </row>
    <row r="67" spans="1:33" ht="11.25" customHeight="1" x14ac:dyDescent="0.3">
      <c r="A67" s="4" t="s">
        <v>21</v>
      </c>
      <c r="B67" s="4" t="s">
        <v>38</v>
      </c>
      <c r="C67" s="4" t="s">
        <v>39</v>
      </c>
      <c r="D67" s="4" t="s">
        <v>49</v>
      </c>
      <c r="E67" s="4" t="s">
        <v>25</v>
      </c>
      <c r="F67" s="4" t="s">
        <v>50</v>
      </c>
      <c r="G67" s="4" t="s">
        <v>25</v>
      </c>
      <c r="H67" s="4" t="s">
        <v>40</v>
      </c>
      <c r="I67" s="5">
        <v>44593</v>
      </c>
      <c r="J67" s="6">
        <v>0</v>
      </c>
      <c r="K67" s="6">
        <v>0</v>
      </c>
      <c r="L67" s="6">
        <v>78.411000000000001</v>
      </c>
      <c r="M67" s="6">
        <v>40.95357679947</v>
      </c>
      <c r="N67" s="6">
        <v>0</v>
      </c>
      <c r="O67" s="6">
        <v>0</v>
      </c>
      <c r="P67" s="6">
        <v>0</v>
      </c>
      <c r="Q67" s="4" t="s">
        <v>51</v>
      </c>
      <c r="R67" s="4">
        <v>0</v>
      </c>
      <c r="S67" s="6">
        <v>0</v>
      </c>
      <c r="T67" s="6">
        <v>35</v>
      </c>
      <c r="U67" s="6">
        <v>0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2389.5</v>
      </c>
      <c r="X67" s="6">
        <f>IF(ISERROR(VLOOKUP($U$67,'TAR FIN'!$A$1:$O$85,15,0)),0,VLOOKUP($U$67,'TAR FIN'!$A$1:$O$85,15,0))</f>
        <v>0</v>
      </c>
      <c r="Y67" s="6"/>
      <c r="Z67" s="6">
        <f ca="1">('TUSD BE'!$AM$11+'TUSD BF'!$AM$11+'TUSD CVA'!$AM$11)*1</f>
        <v>2536.2721730427174</v>
      </c>
      <c r="AA67" s="6"/>
      <c r="AB67" s="6">
        <f>$K$67*$V$67</f>
        <v>0</v>
      </c>
      <c r="AC67" s="6">
        <f>$M$67*$W$67</f>
        <v>97858.571762333566</v>
      </c>
      <c r="AD67" s="6">
        <f>$O$67*$X$67</f>
        <v>0</v>
      </c>
      <c r="AE67" s="6">
        <f>$K$67*$Y$67</f>
        <v>0</v>
      </c>
      <c r="AF67" s="6">
        <f ca="1">$M$67*$Z$67</f>
        <v>103869.41722306359</v>
      </c>
      <c r="AG67" s="6">
        <f>$O$67*$AA$67</f>
        <v>0</v>
      </c>
    </row>
    <row r="68" spans="1:33" ht="11.25" customHeight="1" x14ac:dyDescent="0.3">
      <c r="A68" s="4" t="s">
        <v>21</v>
      </c>
      <c r="B68" s="4" t="s">
        <v>38</v>
      </c>
      <c r="C68" s="4" t="s">
        <v>39</v>
      </c>
      <c r="D68" s="4" t="s">
        <v>49</v>
      </c>
      <c r="E68" s="4" t="s">
        <v>25</v>
      </c>
      <c r="F68" s="4" t="s">
        <v>50</v>
      </c>
      <c r="G68" s="4" t="s">
        <v>25</v>
      </c>
      <c r="H68" s="4" t="s">
        <v>40</v>
      </c>
      <c r="I68" s="5">
        <v>44621</v>
      </c>
      <c r="J68" s="6">
        <v>0</v>
      </c>
      <c r="K68" s="6">
        <v>0</v>
      </c>
      <c r="L68" s="6">
        <v>90.872</v>
      </c>
      <c r="M68" s="6">
        <v>47.399215953679999</v>
      </c>
      <c r="N68" s="6">
        <v>0</v>
      </c>
      <c r="O68" s="6">
        <v>0</v>
      </c>
      <c r="P68" s="6">
        <v>0</v>
      </c>
      <c r="Q68" s="4" t="s">
        <v>51</v>
      </c>
      <c r="R68" s="4">
        <v>0</v>
      </c>
      <c r="S68" s="6">
        <v>0</v>
      </c>
      <c r="T68" s="6">
        <v>35</v>
      </c>
      <c r="U68" s="6">
        <v>0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2389.5</v>
      </c>
      <c r="X68" s="6">
        <f>IF(ISERROR(VLOOKUP($U$68,'TAR FIN'!$A$1:$O$85,15,0)),0,VLOOKUP($U$68,'TAR FIN'!$A$1:$O$85,15,0))</f>
        <v>0</v>
      </c>
      <c r="Y68" s="6"/>
      <c r="Z68" s="6">
        <f ca="1">('TUSD BE'!$AM$11+'TUSD BF'!$AM$11+'TUSD CVA'!$AM$11)*1</f>
        <v>2536.2721730427174</v>
      </c>
      <c r="AA68" s="6"/>
      <c r="AB68" s="6">
        <f>$K$68*$V$68</f>
        <v>0</v>
      </c>
      <c r="AC68" s="6">
        <f>$M$68*$W$68</f>
        <v>113260.42652131835</v>
      </c>
      <c r="AD68" s="6">
        <f>$O$68*$X$68</f>
        <v>0</v>
      </c>
      <c r="AE68" s="6">
        <f>$K$68*$Y$68</f>
        <v>0</v>
      </c>
      <c r="AF68" s="6">
        <f ca="1">$M$68*$Z$68</f>
        <v>120217.31244736101</v>
      </c>
      <c r="AG68" s="6">
        <f>$O$68*$AA$68</f>
        <v>0</v>
      </c>
    </row>
    <row r="69" spans="1:33" ht="11.25" customHeight="1" x14ac:dyDescent="0.3">
      <c r="A69" s="4" t="s">
        <v>21</v>
      </c>
      <c r="B69" s="4" t="s">
        <v>38</v>
      </c>
      <c r="C69" s="4" t="s">
        <v>39</v>
      </c>
      <c r="D69" s="4" t="s">
        <v>49</v>
      </c>
      <c r="E69" s="4" t="s">
        <v>25</v>
      </c>
      <c r="F69" s="4" t="s">
        <v>50</v>
      </c>
      <c r="G69" s="4" t="s">
        <v>25</v>
      </c>
      <c r="H69" s="4" t="s">
        <v>40</v>
      </c>
      <c r="I69" s="5">
        <v>44652</v>
      </c>
      <c r="J69" s="6">
        <v>0</v>
      </c>
      <c r="K69" s="6">
        <v>0</v>
      </c>
      <c r="L69" s="6">
        <v>85.397999999999996</v>
      </c>
      <c r="M69" s="6">
        <v>44.465462753879997</v>
      </c>
      <c r="N69" s="6">
        <v>0</v>
      </c>
      <c r="O69" s="6">
        <v>0</v>
      </c>
      <c r="P69" s="6">
        <v>0</v>
      </c>
      <c r="Q69" s="4" t="s">
        <v>51</v>
      </c>
      <c r="R69" s="4">
        <v>0</v>
      </c>
      <c r="S69" s="6">
        <v>0</v>
      </c>
      <c r="T69" s="6">
        <v>35</v>
      </c>
      <c r="U69" s="6">
        <v>0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2389.5</v>
      </c>
      <c r="X69" s="6">
        <f>IF(ISERROR(VLOOKUP($U$69,'TAR FIN'!$A$1:$O$85,15,0)),0,VLOOKUP($U$69,'TAR FIN'!$A$1:$O$85,15,0))</f>
        <v>0</v>
      </c>
      <c r="Y69" s="6"/>
      <c r="Z69" s="6">
        <f ca="1">('TUSD BE'!$AM$11+'TUSD BF'!$AM$11+'TUSD CVA'!$AM$11)*1</f>
        <v>2536.2721730427174</v>
      </c>
      <c r="AA69" s="6"/>
      <c r="AB69" s="6">
        <f>$K$69*$V$69</f>
        <v>0</v>
      </c>
      <c r="AC69" s="6">
        <f>$M$69*$W$69</f>
        <v>106250.22325039626</v>
      </c>
      <c r="AD69" s="6">
        <f>$O$69*$X$69</f>
        <v>0</v>
      </c>
      <c r="AE69" s="6">
        <f>$K$69*$Y$69</f>
        <v>0</v>
      </c>
      <c r="AF69" s="6">
        <f ca="1">$M$69*$Z$69</f>
        <v>112776.51584413323</v>
      </c>
      <c r="AG69" s="6">
        <f>$O$69*$AA$69</f>
        <v>0</v>
      </c>
    </row>
    <row r="70" spans="1:33" ht="11.25" customHeight="1" x14ac:dyDescent="0.3">
      <c r="A70" s="4" t="s">
        <v>21</v>
      </c>
      <c r="B70" s="4" t="s">
        <v>38</v>
      </c>
      <c r="C70" s="4" t="s">
        <v>39</v>
      </c>
      <c r="D70" s="4" t="s">
        <v>49</v>
      </c>
      <c r="E70" s="4" t="s">
        <v>25</v>
      </c>
      <c r="F70" s="4" t="s">
        <v>50</v>
      </c>
      <c r="G70" s="4" t="s">
        <v>25</v>
      </c>
      <c r="H70" s="4" t="s">
        <v>40</v>
      </c>
      <c r="I70" s="5">
        <v>44682</v>
      </c>
      <c r="J70" s="6">
        <v>0</v>
      </c>
      <c r="K70" s="6">
        <v>0</v>
      </c>
      <c r="L70" s="6">
        <v>85.915000000000006</v>
      </c>
      <c r="M70" s="6">
        <v>44.670605579099998</v>
      </c>
      <c r="N70" s="6">
        <v>0</v>
      </c>
      <c r="O70" s="6">
        <v>0</v>
      </c>
      <c r="P70" s="6">
        <v>0</v>
      </c>
      <c r="Q70" s="4" t="s">
        <v>51</v>
      </c>
      <c r="R70" s="4">
        <v>0</v>
      </c>
      <c r="S70" s="6">
        <v>0</v>
      </c>
      <c r="T70" s="6">
        <v>35</v>
      </c>
      <c r="U70" s="6">
        <v>0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2389.5</v>
      </c>
      <c r="X70" s="6">
        <f>IF(ISERROR(VLOOKUP($U$70,'TAR FIN'!$A$1:$O$85,15,0)),0,VLOOKUP($U$70,'TAR FIN'!$A$1:$O$85,15,0))</f>
        <v>0</v>
      </c>
      <c r="Y70" s="6"/>
      <c r="Z70" s="6">
        <f ca="1">('TUSD BE'!$AM$11+'TUSD BF'!$AM$11+'TUSD CVA'!$AM$11)*1</f>
        <v>2536.2721730427174</v>
      </c>
      <c r="AA70" s="6"/>
      <c r="AB70" s="6">
        <f>$K$70*$V$70</f>
        <v>0</v>
      </c>
      <c r="AC70" s="6">
        <f>$M$70*$W$70</f>
        <v>106740.41203125945</v>
      </c>
      <c r="AD70" s="6">
        <f>$O$70*$X$70</f>
        <v>0</v>
      </c>
      <c r="AE70" s="6">
        <f>$K$70*$Y$70</f>
        <v>0</v>
      </c>
      <c r="AF70" s="6">
        <f ca="1">$M$70*$Z$70</f>
        <v>113296.81388323809</v>
      </c>
      <c r="AG70" s="6">
        <f>$O$70*$AA$70</f>
        <v>0</v>
      </c>
    </row>
    <row r="71" spans="1:33" ht="11.25" customHeight="1" x14ac:dyDescent="0.3">
      <c r="A71" s="4" t="s">
        <v>21</v>
      </c>
      <c r="B71" s="4" t="s">
        <v>38</v>
      </c>
      <c r="C71" s="4" t="s">
        <v>39</v>
      </c>
      <c r="D71" s="4" t="s">
        <v>49</v>
      </c>
      <c r="E71" s="4" t="s">
        <v>25</v>
      </c>
      <c r="F71" s="4" t="s">
        <v>50</v>
      </c>
      <c r="G71" s="4" t="s">
        <v>25</v>
      </c>
      <c r="H71" s="4" t="s">
        <v>40</v>
      </c>
      <c r="I71" s="5">
        <v>44713</v>
      </c>
      <c r="J71" s="6">
        <v>0</v>
      </c>
      <c r="K71" s="6">
        <v>0</v>
      </c>
      <c r="L71" s="6">
        <v>86.504000000000005</v>
      </c>
      <c r="M71" s="6">
        <v>44.964743733360002</v>
      </c>
      <c r="N71" s="6">
        <v>0</v>
      </c>
      <c r="O71" s="6">
        <v>0</v>
      </c>
      <c r="P71" s="6">
        <v>0</v>
      </c>
      <c r="Q71" s="4" t="s">
        <v>51</v>
      </c>
      <c r="R71" s="4">
        <v>0</v>
      </c>
      <c r="S71" s="6">
        <v>0</v>
      </c>
      <c r="T71" s="6">
        <v>35</v>
      </c>
      <c r="U71" s="6">
        <v>0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2389.5</v>
      </c>
      <c r="X71" s="6">
        <f>IF(ISERROR(VLOOKUP($U$71,'TAR FIN'!$A$1:$O$85,15,0)),0,VLOOKUP($U$71,'TAR FIN'!$A$1:$O$85,15,0))</f>
        <v>0</v>
      </c>
      <c r="Y71" s="6"/>
      <c r="Z71" s="6">
        <f ca="1">('TUSD BE'!$AM$11+'TUSD BF'!$AM$11+'TUSD CVA'!$AM$11)*1</f>
        <v>2536.2721730427174</v>
      </c>
      <c r="AA71" s="6"/>
      <c r="AB71" s="6">
        <f>$K$71*$V$71</f>
        <v>0</v>
      </c>
      <c r="AC71" s="6">
        <f>$M$71*$W$71</f>
        <v>107443.25515086373</v>
      </c>
      <c r="AD71" s="6">
        <f>$O$71*$X$71</f>
        <v>0</v>
      </c>
      <c r="AE71" s="6">
        <f>$K$71*$Y$71</f>
        <v>0</v>
      </c>
      <c r="AF71" s="6">
        <f ca="1">$M$71*$Z$71</f>
        <v>114042.82829891788</v>
      </c>
      <c r="AG71" s="6">
        <f>$O$71*$AA$71</f>
        <v>0</v>
      </c>
    </row>
    <row r="72" spans="1:33" ht="11.25" customHeight="1" x14ac:dyDescent="0.3">
      <c r="A72" s="4" t="s">
        <v>21</v>
      </c>
      <c r="B72" s="4" t="s">
        <v>38</v>
      </c>
      <c r="C72" s="4" t="s">
        <v>39</v>
      </c>
      <c r="D72" s="4" t="s">
        <v>49</v>
      </c>
      <c r="E72" s="4" t="s">
        <v>25</v>
      </c>
      <c r="F72" s="4" t="s">
        <v>50</v>
      </c>
      <c r="G72" s="4" t="s">
        <v>25</v>
      </c>
      <c r="H72" s="4" t="s">
        <v>40</v>
      </c>
      <c r="I72" s="5">
        <v>44743</v>
      </c>
      <c r="J72" s="6">
        <v>0</v>
      </c>
      <c r="K72" s="6">
        <v>0</v>
      </c>
      <c r="L72" s="6">
        <v>89.667000000000002</v>
      </c>
      <c r="M72" s="6">
        <v>44.838360848070003</v>
      </c>
      <c r="N72" s="6">
        <v>0</v>
      </c>
      <c r="O72" s="6">
        <v>0</v>
      </c>
      <c r="P72" s="6">
        <v>0</v>
      </c>
      <c r="Q72" s="4" t="s">
        <v>51</v>
      </c>
      <c r="R72" s="4">
        <v>0</v>
      </c>
      <c r="S72" s="6">
        <v>0</v>
      </c>
      <c r="T72" s="6">
        <v>35</v>
      </c>
      <c r="U72" s="6">
        <v>0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2389.5</v>
      </c>
      <c r="X72" s="6">
        <f>IF(ISERROR(VLOOKUP($U$72,'TAR FIN'!$A$1:$O$85,15,0)),0,VLOOKUP($U$72,'TAR FIN'!$A$1:$O$85,15,0))</f>
        <v>0</v>
      </c>
      <c r="Y72" s="6"/>
      <c r="Z72" s="6">
        <f ca="1">('TUSD BE'!$AM$11+'TUSD BF'!$AM$11+'TUSD CVA'!$AM$11)*1</f>
        <v>2536.2721730427174</v>
      </c>
      <c r="AA72" s="6"/>
      <c r="AB72" s="6">
        <f>$K$72*$V$72</f>
        <v>0</v>
      </c>
      <c r="AC72" s="6">
        <f>$M$72*$W$72</f>
        <v>107141.26324646328</v>
      </c>
      <c r="AD72" s="6">
        <f>$O$72*$X$72</f>
        <v>0</v>
      </c>
      <c r="AE72" s="6">
        <f>$K$72*$Y$72</f>
        <v>0</v>
      </c>
      <c r="AF72" s="6">
        <f ca="1">$M$72*$Z$72</f>
        <v>113722.28690380801</v>
      </c>
      <c r="AG72" s="6">
        <f>$O$72*$AA$72</f>
        <v>0</v>
      </c>
    </row>
    <row r="73" spans="1:33" ht="11.25" customHeight="1" x14ac:dyDescent="0.3">
      <c r="A73" s="4" t="s">
        <v>21</v>
      </c>
      <c r="B73" s="4" t="s">
        <v>38</v>
      </c>
      <c r="C73" s="4" t="s">
        <v>39</v>
      </c>
      <c r="D73" s="4" t="s">
        <v>49</v>
      </c>
      <c r="E73" s="4" t="s">
        <v>25</v>
      </c>
      <c r="F73" s="4" t="s">
        <v>50</v>
      </c>
      <c r="G73" s="4" t="s">
        <v>25</v>
      </c>
      <c r="H73" s="4" t="s">
        <v>40</v>
      </c>
      <c r="I73" s="5">
        <v>44774</v>
      </c>
      <c r="J73" s="6">
        <v>0</v>
      </c>
      <c r="K73" s="6">
        <v>0</v>
      </c>
      <c r="L73" s="6">
        <v>92.382999999999996</v>
      </c>
      <c r="M73" s="6">
        <v>47.998565062140003</v>
      </c>
      <c r="N73" s="6">
        <v>0</v>
      </c>
      <c r="O73" s="6">
        <v>0</v>
      </c>
      <c r="P73" s="6">
        <v>0</v>
      </c>
      <c r="Q73" s="4" t="s">
        <v>51</v>
      </c>
      <c r="R73" s="4">
        <v>0</v>
      </c>
      <c r="S73" s="6">
        <v>0</v>
      </c>
      <c r="T73" s="6">
        <v>35</v>
      </c>
      <c r="U73" s="6">
        <v>0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2389.5</v>
      </c>
      <c r="X73" s="6">
        <f>IF(ISERROR(VLOOKUP($U$73,'TAR FIN'!$A$1:$O$85,15,0)),0,VLOOKUP($U$73,'TAR FIN'!$A$1:$O$85,15,0))</f>
        <v>0</v>
      </c>
      <c r="Y73" s="6"/>
      <c r="Z73" s="6">
        <f ca="1">('TUSD BE'!$AM$11+'TUSD BF'!$AM$11+'TUSD CVA'!$AM$11)*1</f>
        <v>2536.2721730427174</v>
      </c>
      <c r="AA73" s="6"/>
      <c r="AB73" s="6">
        <f>$K$73*$V$73</f>
        <v>0</v>
      </c>
      <c r="AC73" s="6">
        <f>$M$73*$W$73</f>
        <v>114692.57121598354</v>
      </c>
      <c r="AD73" s="6">
        <f>$O$73*$X$73</f>
        <v>0</v>
      </c>
      <c r="AE73" s="6">
        <f>$K$73*$Y$73</f>
        <v>0</v>
      </c>
      <c r="AF73" s="6">
        <f ca="1">$M$73*$Z$73</f>
        <v>121737.42491308608</v>
      </c>
      <c r="AG73" s="6">
        <f>$O$73*$AA$73</f>
        <v>0</v>
      </c>
    </row>
    <row r="74" spans="1:33" ht="11.25" customHeight="1" x14ac:dyDescent="0.3">
      <c r="A74" s="4" t="s">
        <v>21</v>
      </c>
      <c r="B74" s="4" t="s">
        <v>38</v>
      </c>
      <c r="C74" s="4" t="s">
        <v>39</v>
      </c>
      <c r="D74" s="4" t="s">
        <v>47</v>
      </c>
      <c r="E74" s="4" t="s">
        <v>48</v>
      </c>
      <c r="F74" s="4" t="s">
        <v>25</v>
      </c>
      <c r="G74" s="4" t="s">
        <v>25</v>
      </c>
      <c r="H74" s="4" t="s">
        <v>34</v>
      </c>
      <c r="I74" s="5">
        <v>44440</v>
      </c>
      <c r="J74" s="6">
        <v>0</v>
      </c>
      <c r="K74" s="52">
        <v>0</v>
      </c>
      <c r="L74" s="6">
        <v>215.23599999999999</v>
      </c>
      <c r="M74" s="52">
        <v>215.23599999999999</v>
      </c>
      <c r="N74" s="6">
        <v>215.23599999999999</v>
      </c>
      <c r="O74" s="52">
        <v>215.23599999999999</v>
      </c>
      <c r="P74" s="6">
        <v>0</v>
      </c>
      <c r="Q74" s="4" t="s">
        <v>26</v>
      </c>
      <c r="R74" s="4">
        <v>0</v>
      </c>
      <c r="S74" s="6">
        <v>0</v>
      </c>
      <c r="T74" s="6">
        <v>40</v>
      </c>
      <c r="U74" s="6">
        <v>65</v>
      </c>
      <c r="V74" s="52">
        <f>IF(ISERROR(VLOOKUP($S$74,'TAR FIN'!$A$1:$O$85,15,0)),0,VLOOKUP($S$74,'TAR FIN'!$A$1:$O$85,15,0))</f>
        <v>0</v>
      </c>
      <c r="W74" s="52">
        <f>IF(ISERROR(VLOOKUP($T$74,'TAR FIN'!$A$1:$O$85,15,0)),0,VLOOKUP($T$74,'TAR FIN'!$A$1:$O$85,15,0))*(1-0.06)</f>
        <v>87.871200000000002</v>
      </c>
      <c r="X74" s="52">
        <f>IF(ISERROR(VLOOKUP($U$74,'TAR FIN'!$A$1:$O$85,15,0)),0,VLOOKUP($U$74,'TAR FIN'!$A$1:$O$85,15,0))*(1-0.06)</f>
        <v>208.30399999999997</v>
      </c>
      <c r="Y74" s="52"/>
      <c r="Z74" s="52">
        <f ca="1">('TUSD BE'!$AM$12+'TUSD BF'!$AM$12+'TUSD CVA'!$AM$12)*1*(1-0.03)</f>
        <v>122.7846083200091</v>
      </c>
      <c r="AA74" s="52">
        <f>('TE BE'!$AB$6+'TE BF'!$AB$6+'TE CVA'!$AB$6)*1*(1-0.03)</f>
        <v>261.13311241088314</v>
      </c>
      <c r="AB74" s="6">
        <f>$K$74*$V$74</f>
        <v>0</v>
      </c>
      <c r="AC74" s="6">
        <f>$M$74*$W$74</f>
        <v>18913.0456032</v>
      </c>
      <c r="AD74" s="6">
        <f>$O$74*$X$74</f>
        <v>44834.51974399999</v>
      </c>
      <c r="AE74" s="6">
        <f>$K$74*$Y$74</f>
        <v>0</v>
      </c>
      <c r="AF74" s="6">
        <f ca="1">$M$74*$Z$74</f>
        <v>26427.667956365476</v>
      </c>
      <c r="AG74" s="6">
        <f>$O$74*$AA$74</f>
        <v>56205.246582868844</v>
      </c>
    </row>
    <row r="75" spans="1:33" ht="11.25" customHeight="1" x14ac:dyDescent="0.3">
      <c r="A75" s="4" t="s">
        <v>21</v>
      </c>
      <c r="B75" s="4" t="s">
        <v>38</v>
      </c>
      <c r="C75" s="4" t="s">
        <v>39</v>
      </c>
      <c r="D75" s="4" t="s">
        <v>47</v>
      </c>
      <c r="E75" s="4" t="s">
        <v>48</v>
      </c>
      <c r="F75" s="4" t="s">
        <v>25</v>
      </c>
      <c r="G75" s="4" t="s">
        <v>25</v>
      </c>
      <c r="H75" s="4" t="s">
        <v>34</v>
      </c>
      <c r="I75" s="5">
        <v>44470</v>
      </c>
      <c r="J75" s="6">
        <v>0</v>
      </c>
      <c r="K75" s="52">
        <v>0</v>
      </c>
      <c r="L75" s="6">
        <v>221.91499999999999</v>
      </c>
      <c r="M75" s="52">
        <v>221.91499999999999</v>
      </c>
      <c r="N75" s="6">
        <v>221.91499999999999</v>
      </c>
      <c r="O75" s="52">
        <v>221.91499999999999</v>
      </c>
      <c r="P75" s="6">
        <v>0</v>
      </c>
      <c r="Q75" s="4" t="s">
        <v>26</v>
      </c>
      <c r="R75" s="4">
        <v>0</v>
      </c>
      <c r="S75" s="6">
        <v>0</v>
      </c>
      <c r="T75" s="6">
        <v>40</v>
      </c>
      <c r="U75" s="6">
        <v>65</v>
      </c>
      <c r="V75" s="52">
        <f>IF(ISERROR(VLOOKUP($S$75,'TAR FIN'!$A$1:$O$85,15,0)),0,VLOOKUP($S$75,'TAR FIN'!$A$1:$O$85,15,0))</f>
        <v>0</v>
      </c>
      <c r="W75" s="52">
        <f>IF(ISERROR(VLOOKUP($T$75,'TAR FIN'!$A$1:$O$85,15,0)),0,VLOOKUP($T$75,'TAR FIN'!$A$1:$O$85,15,0))*(1-0.06)</f>
        <v>87.871200000000002</v>
      </c>
      <c r="X75" s="52">
        <f>IF(ISERROR(VLOOKUP($U$75,'TAR FIN'!$A$1:$O$85,15,0)),0,VLOOKUP($U$75,'TAR FIN'!$A$1:$O$85,15,0))*(1-0.06)</f>
        <v>208.30399999999997</v>
      </c>
      <c r="Y75" s="52"/>
      <c r="Z75" s="52">
        <f ca="1">('TUSD BE'!$AM$12+'TUSD BF'!$AM$12+'TUSD CVA'!$AM$12)*1*(1-0.03)</f>
        <v>122.7846083200091</v>
      </c>
      <c r="AA75" s="52">
        <f>('TE BE'!$AB$6+'TE BF'!$AB$6+'TE CVA'!$AB$6)*1*(1-0.03)</f>
        <v>261.13311241088314</v>
      </c>
      <c r="AB75" s="6">
        <f>$K$75*$V$75</f>
        <v>0</v>
      </c>
      <c r="AC75" s="6">
        <f>$M$75*$W$75</f>
        <v>19499.937347999999</v>
      </c>
      <c r="AD75" s="6">
        <f>$O$75*$X$75</f>
        <v>46225.782159999995</v>
      </c>
      <c r="AE75" s="6">
        <f>$K$75*$Y$75</f>
        <v>0</v>
      </c>
      <c r="AF75" s="6">
        <f ca="1">$M$75*$Z$75</f>
        <v>27247.746355334817</v>
      </c>
      <c r="AG75" s="6">
        <f>$O$75*$AA$75</f>
        <v>57949.354640661128</v>
      </c>
    </row>
    <row r="76" spans="1:33" ht="11.25" customHeight="1" x14ac:dyDescent="0.3">
      <c r="A76" s="4" t="s">
        <v>21</v>
      </c>
      <c r="B76" s="4" t="s">
        <v>38</v>
      </c>
      <c r="C76" s="4" t="s">
        <v>39</v>
      </c>
      <c r="D76" s="4" t="s">
        <v>47</v>
      </c>
      <c r="E76" s="4" t="s">
        <v>48</v>
      </c>
      <c r="F76" s="4" t="s">
        <v>25</v>
      </c>
      <c r="G76" s="4" t="s">
        <v>25</v>
      </c>
      <c r="H76" s="4" t="s">
        <v>34</v>
      </c>
      <c r="I76" s="5">
        <v>44501</v>
      </c>
      <c r="J76" s="6">
        <v>0</v>
      </c>
      <c r="K76" s="52">
        <v>0</v>
      </c>
      <c r="L76" s="6">
        <v>214.208</v>
      </c>
      <c r="M76" s="52">
        <v>214.208</v>
      </c>
      <c r="N76" s="6">
        <v>214.208</v>
      </c>
      <c r="O76" s="52">
        <v>214.208</v>
      </c>
      <c r="P76" s="6">
        <v>0</v>
      </c>
      <c r="Q76" s="4" t="s">
        <v>26</v>
      </c>
      <c r="R76" s="4">
        <v>0</v>
      </c>
      <c r="S76" s="6">
        <v>0</v>
      </c>
      <c r="T76" s="6">
        <v>40</v>
      </c>
      <c r="U76" s="6">
        <v>65</v>
      </c>
      <c r="V76" s="52">
        <f>IF(ISERROR(VLOOKUP($S$76,'TAR FIN'!$A$1:$O$85,15,0)),0,VLOOKUP($S$76,'TAR FIN'!$A$1:$O$85,15,0))</f>
        <v>0</v>
      </c>
      <c r="W76" s="52">
        <f>IF(ISERROR(VLOOKUP($T$76,'TAR FIN'!$A$1:$O$85,15,0)),0,VLOOKUP($T$76,'TAR FIN'!$A$1:$O$85,15,0))*(1-0.06)</f>
        <v>87.871200000000002</v>
      </c>
      <c r="X76" s="52">
        <f>IF(ISERROR(VLOOKUP($U$76,'TAR FIN'!$A$1:$O$85,15,0)),0,VLOOKUP($U$76,'TAR FIN'!$A$1:$O$85,15,0))*(1-0.06)</f>
        <v>208.30399999999997</v>
      </c>
      <c r="Y76" s="52"/>
      <c r="Z76" s="52">
        <f ca="1">('TUSD BE'!$AM$12+'TUSD BF'!$AM$12+'TUSD CVA'!$AM$12)*1*(1-0.03)</f>
        <v>122.7846083200091</v>
      </c>
      <c r="AA76" s="52">
        <f>('TE BE'!$AB$6+'TE BF'!$AB$6+'TE CVA'!$AB$6)*1*(1-0.03)</f>
        <v>261.13311241088314</v>
      </c>
      <c r="AB76" s="6">
        <f>$K$76*$V$76</f>
        <v>0</v>
      </c>
      <c r="AC76" s="6">
        <f>$M$76*$W$76</f>
        <v>18822.7140096</v>
      </c>
      <c r="AD76" s="6">
        <f>$O$76*$X$76</f>
        <v>44620.383231999993</v>
      </c>
      <c r="AE76" s="6">
        <f>$K$76*$Y$76</f>
        <v>0</v>
      </c>
      <c r="AF76" s="6">
        <f ca="1">$M$76*$Z$76</f>
        <v>26301.445379012508</v>
      </c>
      <c r="AG76" s="6">
        <f>$O$76*$AA$76</f>
        <v>55936.801743310454</v>
      </c>
    </row>
    <row r="77" spans="1:33" ht="11.25" customHeight="1" x14ac:dyDescent="0.3">
      <c r="A77" s="4" t="s">
        <v>21</v>
      </c>
      <c r="B77" s="4" t="s">
        <v>38</v>
      </c>
      <c r="C77" s="4" t="s">
        <v>39</v>
      </c>
      <c r="D77" s="4" t="s">
        <v>47</v>
      </c>
      <c r="E77" s="4" t="s">
        <v>48</v>
      </c>
      <c r="F77" s="4" t="s">
        <v>25</v>
      </c>
      <c r="G77" s="4" t="s">
        <v>25</v>
      </c>
      <c r="H77" s="4" t="s">
        <v>34</v>
      </c>
      <c r="I77" s="5">
        <v>44531</v>
      </c>
      <c r="J77" s="6">
        <v>0</v>
      </c>
      <c r="K77" s="52">
        <v>0</v>
      </c>
      <c r="L77" s="6">
        <v>220.203</v>
      </c>
      <c r="M77" s="52">
        <v>220.203</v>
      </c>
      <c r="N77" s="6">
        <v>220.203</v>
      </c>
      <c r="O77" s="52">
        <v>220.203</v>
      </c>
      <c r="P77" s="6">
        <v>0</v>
      </c>
      <c r="Q77" s="4" t="s">
        <v>26</v>
      </c>
      <c r="R77" s="4">
        <v>0</v>
      </c>
      <c r="S77" s="6">
        <v>0</v>
      </c>
      <c r="T77" s="6">
        <v>40</v>
      </c>
      <c r="U77" s="6">
        <v>65</v>
      </c>
      <c r="V77" s="52">
        <f>IF(ISERROR(VLOOKUP($S$77,'TAR FIN'!$A$1:$O$85,15,0)),0,VLOOKUP($S$77,'TAR FIN'!$A$1:$O$85,15,0))</f>
        <v>0</v>
      </c>
      <c r="W77" s="52">
        <f>IF(ISERROR(VLOOKUP($T$77,'TAR FIN'!$A$1:$O$85,15,0)),0,VLOOKUP($T$77,'TAR FIN'!$A$1:$O$85,15,0))*(1-0.06)</f>
        <v>87.871200000000002</v>
      </c>
      <c r="X77" s="52">
        <f>IF(ISERROR(VLOOKUP($U$77,'TAR FIN'!$A$1:$O$85,15,0)),0,VLOOKUP($U$77,'TAR FIN'!$A$1:$O$85,15,0))*(1-0.06)</f>
        <v>208.30399999999997</v>
      </c>
      <c r="Y77" s="52"/>
      <c r="Z77" s="52">
        <f ca="1">('TUSD BE'!$AM$12+'TUSD BF'!$AM$12+'TUSD CVA'!$AM$12)*1*(1-0.03)</f>
        <v>122.7846083200091</v>
      </c>
      <c r="AA77" s="52">
        <f>('TE BE'!$AB$6+'TE BF'!$AB$6+'TE CVA'!$AB$6)*1*(1-0.03)</f>
        <v>261.13311241088314</v>
      </c>
      <c r="AB77" s="6">
        <f>$K$77*$V$77</f>
        <v>0</v>
      </c>
      <c r="AC77" s="6">
        <f>$M$77*$W$77</f>
        <v>19349.501853599999</v>
      </c>
      <c r="AD77" s="6">
        <f>$O$77*$X$77</f>
        <v>45869.165711999995</v>
      </c>
      <c r="AE77" s="6">
        <f>$K$77*$Y$77</f>
        <v>0</v>
      </c>
      <c r="AF77" s="6">
        <f ca="1">$M$77*$Z$77</f>
        <v>27037.539105890963</v>
      </c>
      <c r="AG77" s="6">
        <f>$O$77*$AA$77</f>
        <v>57502.294752213704</v>
      </c>
    </row>
    <row r="78" spans="1:33" ht="11.25" customHeight="1" x14ac:dyDescent="0.3">
      <c r="A78" s="4" t="s">
        <v>21</v>
      </c>
      <c r="B78" s="4" t="s">
        <v>38</v>
      </c>
      <c r="C78" s="4" t="s">
        <v>39</v>
      </c>
      <c r="D78" s="4" t="s">
        <v>47</v>
      </c>
      <c r="E78" s="4" t="s">
        <v>48</v>
      </c>
      <c r="F78" s="4" t="s">
        <v>25</v>
      </c>
      <c r="G78" s="4" t="s">
        <v>25</v>
      </c>
      <c r="H78" s="4" t="s">
        <v>34</v>
      </c>
      <c r="I78" s="5">
        <v>44562</v>
      </c>
      <c r="J78" s="6">
        <v>0</v>
      </c>
      <c r="K78" s="52">
        <v>0</v>
      </c>
      <c r="L78" s="6">
        <v>200.84200000000001</v>
      </c>
      <c r="M78" s="52">
        <v>200.84200000000001</v>
      </c>
      <c r="N78" s="6">
        <v>200.84200000000001</v>
      </c>
      <c r="O78" s="52">
        <v>200.84200000000001</v>
      </c>
      <c r="P78" s="6">
        <v>0</v>
      </c>
      <c r="Q78" s="4" t="s">
        <v>26</v>
      </c>
      <c r="R78" s="4">
        <v>0</v>
      </c>
      <c r="S78" s="6">
        <v>0</v>
      </c>
      <c r="T78" s="6">
        <v>40</v>
      </c>
      <c r="U78" s="6">
        <v>65</v>
      </c>
      <c r="V78" s="52">
        <f>IF(ISERROR(VLOOKUP($S$78,'TAR FIN'!$A$1:$O$85,15,0)),0,VLOOKUP($S$78,'TAR FIN'!$A$1:$O$85,15,0))</f>
        <v>0</v>
      </c>
      <c r="W78" s="52">
        <f>IF(ISERROR(VLOOKUP($T$78,'TAR FIN'!$A$1:$O$85,15,0)),0,VLOOKUP($T$78,'TAR FIN'!$A$1:$O$85,15,0))*(1-0.06)</f>
        <v>87.871200000000002</v>
      </c>
      <c r="X78" s="52">
        <f>IF(ISERROR(VLOOKUP($U$78,'TAR FIN'!$A$1:$O$85,15,0)),0,VLOOKUP($U$78,'TAR FIN'!$A$1:$O$85,15,0))*(1-0.06)</f>
        <v>208.30399999999997</v>
      </c>
      <c r="Y78" s="52"/>
      <c r="Z78" s="52">
        <f ca="1">('TUSD BE'!$AM$12+'TUSD BF'!$AM$12+'TUSD CVA'!$AM$12)*1*(1-0.03)</f>
        <v>122.7846083200091</v>
      </c>
      <c r="AA78" s="52">
        <f>('TE BE'!$AB$6+'TE BF'!$AB$6+'TE CVA'!$AB$6)*1*(1-0.03)</f>
        <v>261.13311241088314</v>
      </c>
      <c r="AB78" s="6">
        <f>$K$78*$V$78</f>
        <v>0</v>
      </c>
      <c r="AC78" s="6">
        <f>$M$78*$W$78</f>
        <v>17648.227550400003</v>
      </c>
      <c r="AD78" s="6">
        <f>$O$78*$X$78</f>
        <v>41836.191967999999</v>
      </c>
      <c r="AE78" s="6">
        <f>$K$78*$Y$78</f>
        <v>0</v>
      </c>
      <c r="AF78" s="6">
        <f ca="1">$M$78*$Z$78</f>
        <v>24660.306304207268</v>
      </c>
      <c r="AG78" s="6">
        <f>$O$78*$AA$78</f>
        <v>52446.496562826593</v>
      </c>
    </row>
    <row r="79" spans="1:33" ht="11.25" customHeight="1" x14ac:dyDescent="0.3">
      <c r="A79" s="4" t="s">
        <v>21</v>
      </c>
      <c r="B79" s="4" t="s">
        <v>38</v>
      </c>
      <c r="C79" s="4" t="s">
        <v>39</v>
      </c>
      <c r="D79" s="4" t="s">
        <v>47</v>
      </c>
      <c r="E79" s="4" t="s">
        <v>48</v>
      </c>
      <c r="F79" s="4" t="s">
        <v>25</v>
      </c>
      <c r="G79" s="4" t="s">
        <v>25</v>
      </c>
      <c r="H79" s="4" t="s">
        <v>34</v>
      </c>
      <c r="I79" s="5">
        <v>44593</v>
      </c>
      <c r="J79" s="6">
        <v>0</v>
      </c>
      <c r="K79" s="52">
        <v>0</v>
      </c>
      <c r="L79" s="6">
        <v>193.44</v>
      </c>
      <c r="M79" s="52">
        <v>193.44</v>
      </c>
      <c r="N79" s="6">
        <v>193.44</v>
      </c>
      <c r="O79" s="52">
        <v>193.44</v>
      </c>
      <c r="P79" s="6">
        <v>0</v>
      </c>
      <c r="Q79" s="4" t="s">
        <v>26</v>
      </c>
      <c r="R79" s="4">
        <v>0</v>
      </c>
      <c r="S79" s="6">
        <v>0</v>
      </c>
      <c r="T79" s="6">
        <v>40</v>
      </c>
      <c r="U79" s="6">
        <v>65</v>
      </c>
      <c r="V79" s="52">
        <f>IF(ISERROR(VLOOKUP($S$79,'TAR FIN'!$A$1:$O$85,15,0)),0,VLOOKUP($S$79,'TAR FIN'!$A$1:$O$85,15,0))</f>
        <v>0</v>
      </c>
      <c r="W79" s="52">
        <f>IF(ISERROR(VLOOKUP($T$79,'TAR FIN'!$A$1:$O$85,15,0)),0,VLOOKUP($T$79,'TAR FIN'!$A$1:$O$85,15,0))*(1-0.06)</f>
        <v>87.871200000000002</v>
      </c>
      <c r="X79" s="52">
        <f>IF(ISERROR(VLOOKUP($U$79,'TAR FIN'!$A$1:$O$85,15,0)),0,VLOOKUP($U$79,'TAR FIN'!$A$1:$O$85,15,0))*(1-0.06)</f>
        <v>208.30399999999997</v>
      </c>
      <c r="Y79" s="52"/>
      <c r="Z79" s="52">
        <f ca="1">('TUSD BE'!$AM$12+'TUSD BF'!$AM$12+'TUSD CVA'!$AM$12)*1*(1-0.03)</f>
        <v>122.7846083200091</v>
      </c>
      <c r="AA79" s="52">
        <f>('TE BE'!$AB$6+'TE BF'!$AB$6+'TE CVA'!$AB$6)*1*(1-0.03)</f>
        <v>261.13311241088314</v>
      </c>
      <c r="AB79" s="6">
        <f>$K$79*$V$79</f>
        <v>0</v>
      </c>
      <c r="AC79" s="6">
        <f>$M$79*$W$79</f>
        <v>16997.804928000001</v>
      </c>
      <c r="AD79" s="6">
        <f>$O$79*$X$79</f>
        <v>40294.325759999992</v>
      </c>
      <c r="AE79" s="6">
        <f>$K$79*$Y$79</f>
        <v>0</v>
      </c>
      <c r="AF79" s="6">
        <f ca="1">$M$79*$Z$79</f>
        <v>23751.45463342256</v>
      </c>
      <c r="AG79" s="6">
        <f>$O$79*$AA$79</f>
        <v>50513.589264761235</v>
      </c>
    </row>
    <row r="80" spans="1:33" ht="11.25" customHeight="1" x14ac:dyDescent="0.3">
      <c r="A80" s="4" t="s">
        <v>21</v>
      </c>
      <c r="B80" s="4" t="s">
        <v>38</v>
      </c>
      <c r="C80" s="4" t="s">
        <v>39</v>
      </c>
      <c r="D80" s="4" t="s">
        <v>47</v>
      </c>
      <c r="E80" s="4" t="s">
        <v>48</v>
      </c>
      <c r="F80" s="4" t="s">
        <v>25</v>
      </c>
      <c r="G80" s="4" t="s">
        <v>25</v>
      </c>
      <c r="H80" s="4" t="s">
        <v>34</v>
      </c>
      <c r="I80" s="5">
        <v>44621</v>
      </c>
      <c r="J80" s="6">
        <v>0</v>
      </c>
      <c r="K80" s="52">
        <v>0</v>
      </c>
      <c r="L80" s="6">
        <v>190.35400000000001</v>
      </c>
      <c r="M80" s="52">
        <v>190.35400000000001</v>
      </c>
      <c r="N80" s="6">
        <v>190.35400000000001</v>
      </c>
      <c r="O80" s="52">
        <v>190.35400000000001</v>
      </c>
      <c r="P80" s="6">
        <v>0</v>
      </c>
      <c r="Q80" s="4" t="s">
        <v>26</v>
      </c>
      <c r="R80" s="4">
        <v>0</v>
      </c>
      <c r="S80" s="6">
        <v>0</v>
      </c>
      <c r="T80" s="6">
        <v>40</v>
      </c>
      <c r="U80" s="6">
        <v>65</v>
      </c>
      <c r="V80" s="52">
        <f>IF(ISERROR(VLOOKUP($S$80,'TAR FIN'!$A$1:$O$85,15,0)),0,VLOOKUP($S$80,'TAR FIN'!$A$1:$O$85,15,0))</f>
        <v>0</v>
      </c>
      <c r="W80" s="52">
        <f>IF(ISERROR(VLOOKUP($T$80,'TAR FIN'!$A$1:$O$85,15,0)),0,VLOOKUP($T$80,'TAR FIN'!$A$1:$O$85,15,0))*(1-0.06)</f>
        <v>87.871200000000002</v>
      </c>
      <c r="X80" s="52">
        <f>IF(ISERROR(VLOOKUP($U$80,'TAR FIN'!$A$1:$O$85,15,0)),0,VLOOKUP($U$80,'TAR FIN'!$A$1:$O$85,15,0))*(1-0.06)</f>
        <v>208.30399999999997</v>
      </c>
      <c r="Y80" s="52"/>
      <c r="Z80" s="52">
        <f ca="1">('TUSD BE'!$AM$12+'TUSD BF'!$AM$12+'TUSD CVA'!$AM$12)*1*(1-0.03)</f>
        <v>122.7846083200091</v>
      </c>
      <c r="AA80" s="52">
        <f>('TE BE'!$AB$6+'TE BF'!$AB$6+'TE CVA'!$AB$6)*1*(1-0.03)</f>
        <v>261.13311241088314</v>
      </c>
      <c r="AB80" s="6">
        <f>$K$80*$V$80</f>
        <v>0</v>
      </c>
      <c r="AC80" s="6">
        <f>$M$80*$W$80</f>
        <v>16726.634404800003</v>
      </c>
      <c r="AD80" s="6">
        <f>$O$80*$X$80</f>
        <v>39651.499616000001</v>
      </c>
      <c r="AE80" s="6">
        <f>$K$80*$Y$80</f>
        <v>0</v>
      </c>
      <c r="AF80" s="6">
        <f ca="1">$M$80*$Z$80</f>
        <v>23372.541332147015</v>
      </c>
      <c r="AG80" s="6">
        <f>$O$80*$AA$80</f>
        <v>49707.732479861254</v>
      </c>
    </row>
    <row r="81" spans="1:33" ht="11.25" customHeight="1" x14ac:dyDescent="0.3">
      <c r="A81" s="4" t="s">
        <v>21</v>
      </c>
      <c r="B81" s="4" t="s">
        <v>38</v>
      </c>
      <c r="C81" s="4" t="s">
        <v>39</v>
      </c>
      <c r="D81" s="4" t="s">
        <v>47</v>
      </c>
      <c r="E81" s="4" t="s">
        <v>48</v>
      </c>
      <c r="F81" s="4" t="s">
        <v>25</v>
      </c>
      <c r="G81" s="4" t="s">
        <v>25</v>
      </c>
      <c r="H81" s="4" t="s">
        <v>34</v>
      </c>
      <c r="I81" s="5">
        <v>44652</v>
      </c>
      <c r="J81" s="6">
        <v>0</v>
      </c>
      <c r="K81" s="52">
        <v>0</v>
      </c>
      <c r="L81" s="6">
        <v>187.297</v>
      </c>
      <c r="M81" s="52">
        <v>187.297</v>
      </c>
      <c r="N81" s="6">
        <v>187.297</v>
      </c>
      <c r="O81" s="52">
        <v>187.297</v>
      </c>
      <c r="P81" s="6">
        <v>0</v>
      </c>
      <c r="Q81" s="4" t="s">
        <v>26</v>
      </c>
      <c r="R81" s="4">
        <v>0</v>
      </c>
      <c r="S81" s="6">
        <v>0</v>
      </c>
      <c r="T81" s="6">
        <v>40</v>
      </c>
      <c r="U81" s="6">
        <v>65</v>
      </c>
      <c r="V81" s="52">
        <f>IF(ISERROR(VLOOKUP($S$81,'TAR FIN'!$A$1:$O$85,15,0)),0,VLOOKUP($S$81,'TAR FIN'!$A$1:$O$85,15,0))</f>
        <v>0</v>
      </c>
      <c r="W81" s="52">
        <f>IF(ISERROR(VLOOKUP($T$81,'TAR FIN'!$A$1:$O$85,15,0)),0,VLOOKUP($T$81,'TAR FIN'!$A$1:$O$85,15,0))*(1-0.06)</f>
        <v>87.871200000000002</v>
      </c>
      <c r="X81" s="52">
        <f>IF(ISERROR(VLOOKUP($U$81,'TAR FIN'!$A$1:$O$85,15,0)),0,VLOOKUP($U$81,'TAR FIN'!$A$1:$O$85,15,0))*(1-0.06)</f>
        <v>208.30399999999997</v>
      </c>
      <c r="Y81" s="52"/>
      <c r="Z81" s="52">
        <f ca="1">('TUSD BE'!$AM$12+'TUSD BF'!$AM$12+'TUSD CVA'!$AM$12)*1*(1-0.03)</f>
        <v>122.7846083200091</v>
      </c>
      <c r="AA81" s="52">
        <f>('TE BE'!$AB$6+'TE BF'!$AB$6+'TE CVA'!$AB$6)*1*(1-0.03)</f>
        <v>261.13311241088314</v>
      </c>
      <c r="AB81" s="6">
        <f>$K$81*$V$81</f>
        <v>0</v>
      </c>
      <c r="AC81" s="6">
        <f>$M$81*$W$81</f>
        <v>16458.0121464</v>
      </c>
      <c r="AD81" s="6">
        <f>$O$81*$X$81</f>
        <v>39014.714287999996</v>
      </c>
      <c r="AE81" s="6">
        <f>$K$81*$Y$81</f>
        <v>0</v>
      </c>
      <c r="AF81" s="6">
        <f ca="1">$M$81*$Z$81</f>
        <v>22997.188784512742</v>
      </c>
      <c r="AG81" s="6">
        <f>$O$81*$AA$81</f>
        <v>48909.448555221177</v>
      </c>
    </row>
    <row r="82" spans="1:33" ht="11.25" customHeight="1" x14ac:dyDescent="0.3">
      <c r="A82" s="4" t="s">
        <v>21</v>
      </c>
      <c r="B82" s="4" t="s">
        <v>38</v>
      </c>
      <c r="C82" s="4" t="s">
        <v>39</v>
      </c>
      <c r="D82" s="4" t="s">
        <v>47</v>
      </c>
      <c r="E82" s="4" t="s">
        <v>48</v>
      </c>
      <c r="F82" s="4" t="s">
        <v>25</v>
      </c>
      <c r="G82" s="4" t="s">
        <v>25</v>
      </c>
      <c r="H82" s="4" t="s">
        <v>34</v>
      </c>
      <c r="I82" s="5">
        <v>44682</v>
      </c>
      <c r="J82" s="6">
        <v>0</v>
      </c>
      <c r="K82" s="52">
        <v>0</v>
      </c>
      <c r="L82" s="6">
        <v>206.12899999999999</v>
      </c>
      <c r="M82" s="52">
        <v>206.12899999999999</v>
      </c>
      <c r="N82" s="6">
        <v>206.12899999999999</v>
      </c>
      <c r="O82" s="52">
        <v>206.12899999999999</v>
      </c>
      <c r="P82" s="6">
        <v>0</v>
      </c>
      <c r="Q82" s="4" t="s">
        <v>26</v>
      </c>
      <c r="R82" s="4">
        <v>0</v>
      </c>
      <c r="S82" s="6">
        <v>0</v>
      </c>
      <c r="T82" s="6">
        <v>40</v>
      </c>
      <c r="U82" s="6">
        <v>65</v>
      </c>
      <c r="V82" s="52">
        <f>IF(ISERROR(VLOOKUP($S$82,'TAR FIN'!$A$1:$O$85,15,0)),0,VLOOKUP($S$82,'TAR FIN'!$A$1:$O$85,15,0))</f>
        <v>0</v>
      </c>
      <c r="W82" s="52">
        <f>IF(ISERROR(VLOOKUP($T$82,'TAR FIN'!$A$1:$O$85,15,0)),0,VLOOKUP($T$82,'TAR FIN'!$A$1:$O$85,15,0))*(1-0.06)</f>
        <v>87.871200000000002</v>
      </c>
      <c r="X82" s="52">
        <f>IF(ISERROR(VLOOKUP($U$82,'TAR FIN'!$A$1:$O$85,15,0)),0,VLOOKUP($U$82,'TAR FIN'!$A$1:$O$85,15,0))*(1-0.06)</f>
        <v>208.30399999999997</v>
      </c>
      <c r="Y82" s="52"/>
      <c r="Z82" s="52">
        <f ca="1">('TUSD BE'!$AM$12+'TUSD BF'!$AM$12+'TUSD CVA'!$AM$12)*1*(1-0.03)</f>
        <v>122.7846083200091</v>
      </c>
      <c r="AA82" s="52">
        <f>('TE BE'!$AB$6+'TE BF'!$AB$6+'TE CVA'!$AB$6)*1*(1-0.03)</f>
        <v>261.13311241088314</v>
      </c>
      <c r="AB82" s="6">
        <f>$K$82*$V$82</f>
        <v>0</v>
      </c>
      <c r="AC82" s="6">
        <f>$M$82*$W$82</f>
        <v>18112.8025848</v>
      </c>
      <c r="AD82" s="6">
        <f>$O$82*$X$82</f>
        <v>42937.495215999996</v>
      </c>
      <c r="AE82" s="6">
        <f>$K$82*$Y$82</f>
        <v>0</v>
      </c>
      <c r="AF82" s="6">
        <f ca="1">$M$82*$Z$82</f>
        <v>25309.468528395155</v>
      </c>
      <c r="AG82" s="6">
        <f>$O$82*$AA$82</f>
        <v>53827.107328142927</v>
      </c>
    </row>
    <row r="83" spans="1:33" ht="11.25" customHeight="1" x14ac:dyDescent="0.3">
      <c r="A83" s="4" t="s">
        <v>21</v>
      </c>
      <c r="B83" s="4" t="s">
        <v>38</v>
      </c>
      <c r="C83" s="4" t="s">
        <v>39</v>
      </c>
      <c r="D83" s="4" t="s">
        <v>47</v>
      </c>
      <c r="E83" s="4" t="s">
        <v>48</v>
      </c>
      <c r="F83" s="4" t="s">
        <v>25</v>
      </c>
      <c r="G83" s="4" t="s">
        <v>25</v>
      </c>
      <c r="H83" s="4" t="s">
        <v>34</v>
      </c>
      <c r="I83" s="5">
        <v>44713</v>
      </c>
      <c r="J83" s="6">
        <v>0</v>
      </c>
      <c r="K83" s="52">
        <v>0</v>
      </c>
      <c r="L83" s="6">
        <v>198.251</v>
      </c>
      <c r="M83" s="52">
        <v>198.251</v>
      </c>
      <c r="N83" s="6">
        <v>198.251</v>
      </c>
      <c r="O83" s="52">
        <v>198.251</v>
      </c>
      <c r="P83" s="6">
        <v>0</v>
      </c>
      <c r="Q83" s="4" t="s">
        <v>26</v>
      </c>
      <c r="R83" s="4">
        <v>0</v>
      </c>
      <c r="S83" s="6">
        <v>0</v>
      </c>
      <c r="T83" s="6">
        <v>40</v>
      </c>
      <c r="U83" s="6">
        <v>65</v>
      </c>
      <c r="V83" s="52">
        <f>IF(ISERROR(VLOOKUP($S$83,'TAR FIN'!$A$1:$O$85,15,0)),0,VLOOKUP($S$83,'TAR FIN'!$A$1:$O$85,15,0))</f>
        <v>0</v>
      </c>
      <c r="W83" s="52">
        <f>IF(ISERROR(VLOOKUP($T$83,'TAR FIN'!$A$1:$O$85,15,0)),0,VLOOKUP($T$83,'TAR FIN'!$A$1:$O$85,15,0))*(1-0.06)</f>
        <v>87.871200000000002</v>
      </c>
      <c r="X83" s="52">
        <f>IF(ISERROR(VLOOKUP($U$83,'TAR FIN'!$A$1:$O$85,15,0)),0,VLOOKUP($U$83,'TAR FIN'!$A$1:$O$85,15,0))*(1-0.06)</f>
        <v>208.30399999999997</v>
      </c>
      <c r="Y83" s="52"/>
      <c r="Z83" s="52">
        <f ca="1">('TUSD BE'!$AM$12+'TUSD BF'!$AM$12+'TUSD CVA'!$AM$12)*1*(1-0.03)</f>
        <v>122.7846083200091</v>
      </c>
      <c r="AA83" s="52">
        <f>('TE BE'!$AB$6+'TE BF'!$AB$6+'TE CVA'!$AB$6)*1*(1-0.03)</f>
        <v>261.13311241088314</v>
      </c>
      <c r="AB83" s="6">
        <f>$K$83*$V$83</f>
        <v>0</v>
      </c>
      <c r="AC83" s="6">
        <f>$M$83*$W$83</f>
        <v>17420.553271200002</v>
      </c>
      <c r="AD83" s="6">
        <f>$O$83*$X$83</f>
        <v>41296.476303999996</v>
      </c>
      <c r="AE83" s="6">
        <f>$K$83*$Y$83</f>
        <v>0</v>
      </c>
      <c r="AF83" s="6">
        <f ca="1">$M$83*$Z$83</f>
        <v>24342.171384050125</v>
      </c>
      <c r="AG83" s="6">
        <f>$O$83*$AA$83</f>
        <v>51769.900668569993</v>
      </c>
    </row>
    <row r="84" spans="1:33" ht="11.25" customHeight="1" x14ac:dyDescent="0.3">
      <c r="A84" s="4" t="s">
        <v>21</v>
      </c>
      <c r="B84" s="4" t="s">
        <v>38</v>
      </c>
      <c r="C84" s="4" t="s">
        <v>39</v>
      </c>
      <c r="D84" s="4" t="s">
        <v>47</v>
      </c>
      <c r="E84" s="4" t="s">
        <v>48</v>
      </c>
      <c r="F84" s="4" t="s">
        <v>25</v>
      </c>
      <c r="G84" s="4" t="s">
        <v>25</v>
      </c>
      <c r="H84" s="4" t="s">
        <v>34</v>
      </c>
      <c r="I84" s="5">
        <v>44743</v>
      </c>
      <c r="J84" s="6">
        <v>0</v>
      </c>
      <c r="K84" s="52">
        <v>0</v>
      </c>
      <c r="L84" s="6">
        <v>215.82400000000001</v>
      </c>
      <c r="M84" s="52">
        <v>215.82400000000001</v>
      </c>
      <c r="N84" s="6">
        <v>215.82400000000001</v>
      </c>
      <c r="O84" s="52">
        <v>215.82400000000001</v>
      </c>
      <c r="P84" s="6">
        <v>0</v>
      </c>
      <c r="Q84" s="4" t="s">
        <v>26</v>
      </c>
      <c r="R84" s="4">
        <v>0</v>
      </c>
      <c r="S84" s="6">
        <v>0</v>
      </c>
      <c r="T84" s="6">
        <v>40</v>
      </c>
      <c r="U84" s="6">
        <v>65</v>
      </c>
      <c r="V84" s="52">
        <f>IF(ISERROR(VLOOKUP($S$84,'TAR FIN'!$A$1:$O$85,15,0)),0,VLOOKUP($S$84,'TAR FIN'!$A$1:$O$85,15,0))</f>
        <v>0</v>
      </c>
      <c r="W84" s="52">
        <f>IF(ISERROR(VLOOKUP($T$84,'TAR FIN'!$A$1:$O$85,15,0)),0,VLOOKUP($T$84,'TAR FIN'!$A$1:$O$85,15,0))*(1-0.06)</f>
        <v>87.871200000000002</v>
      </c>
      <c r="X84" s="52">
        <f>IF(ISERROR(VLOOKUP($U$84,'TAR FIN'!$A$1:$O$85,15,0)),0,VLOOKUP($U$84,'TAR FIN'!$A$1:$O$85,15,0))*(1-0.06)</f>
        <v>208.30399999999997</v>
      </c>
      <c r="Y84" s="52"/>
      <c r="Z84" s="52">
        <f ca="1">('TUSD BE'!$AM$12+'TUSD BF'!$AM$12+'TUSD CVA'!$AM$12)*1*(1-0.03)</f>
        <v>122.7846083200091</v>
      </c>
      <c r="AA84" s="52">
        <f>('TE BE'!$AB$6+'TE BF'!$AB$6+'TE CVA'!$AB$6)*1*(1-0.03)</f>
        <v>261.13311241088314</v>
      </c>
      <c r="AB84" s="6">
        <f>$K$84*$V$84</f>
        <v>0</v>
      </c>
      <c r="AC84" s="6">
        <f>$M$84*$W$84</f>
        <v>18964.713868800001</v>
      </c>
      <c r="AD84" s="6">
        <f>$O$84*$X$84</f>
        <v>44957.002495999994</v>
      </c>
      <c r="AE84" s="6">
        <f>$K$84*$Y$84</f>
        <v>0</v>
      </c>
      <c r="AF84" s="6">
        <f ca="1">$M$84*$Z$84</f>
        <v>26499.865306057643</v>
      </c>
      <c r="AG84" s="6">
        <f>$O$84*$AA$84</f>
        <v>56358.79285296645</v>
      </c>
    </row>
    <row r="85" spans="1:33" ht="11.25" customHeight="1" x14ac:dyDescent="0.3">
      <c r="A85" s="4" t="s">
        <v>21</v>
      </c>
      <c r="B85" s="4" t="s">
        <v>38</v>
      </c>
      <c r="C85" s="4" t="s">
        <v>39</v>
      </c>
      <c r="D85" s="4" t="s">
        <v>47</v>
      </c>
      <c r="E85" s="4" t="s">
        <v>48</v>
      </c>
      <c r="F85" s="4" t="s">
        <v>25</v>
      </c>
      <c r="G85" s="4" t="s">
        <v>25</v>
      </c>
      <c r="H85" s="4" t="s">
        <v>34</v>
      </c>
      <c r="I85" s="5">
        <v>44774</v>
      </c>
      <c r="J85" s="6">
        <v>0</v>
      </c>
      <c r="K85" s="52">
        <v>0</v>
      </c>
      <c r="L85" s="6">
        <v>211.61</v>
      </c>
      <c r="M85" s="52">
        <v>211.61</v>
      </c>
      <c r="N85" s="6">
        <v>211.61</v>
      </c>
      <c r="O85" s="52">
        <v>211.61</v>
      </c>
      <c r="P85" s="6">
        <v>0</v>
      </c>
      <c r="Q85" s="4" t="s">
        <v>26</v>
      </c>
      <c r="R85" s="4">
        <v>0</v>
      </c>
      <c r="S85" s="6">
        <v>0</v>
      </c>
      <c r="T85" s="6">
        <v>40</v>
      </c>
      <c r="U85" s="6">
        <v>65</v>
      </c>
      <c r="V85" s="52">
        <f>IF(ISERROR(VLOOKUP($S$85,'TAR FIN'!$A$1:$O$85,15,0)),0,VLOOKUP($S$85,'TAR FIN'!$A$1:$O$85,15,0))</f>
        <v>0</v>
      </c>
      <c r="W85" s="52">
        <f>IF(ISERROR(VLOOKUP($T$85,'TAR FIN'!$A$1:$O$85,15,0)),0,VLOOKUP($T$85,'TAR FIN'!$A$1:$O$85,15,0))*(1-0.06)</f>
        <v>87.871200000000002</v>
      </c>
      <c r="X85" s="52">
        <f>IF(ISERROR(VLOOKUP($U$85,'TAR FIN'!$A$1:$O$85,15,0)),0,VLOOKUP($U$85,'TAR FIN'!$A$1:$O$85,15,0))*(1-0.06)</f>
        <v>208.30399999999997</v>
      </c>
      <c r="Y85" s="52"/>
      <c r="Z85" s="52">
        <f ca="1">('TUSD BE'!$AM$12+'TUSD BF'!$AM$12+'TUSD CVA'!$AM$12)*1*(1-0.03)</f>
        <v>122.7846083200091</v>
      </c>
      <c r="AA85" s="52">
        <f>('TE BE'!$AB$6+'TE BF'!$AB$6+'TE CVA'!$AB$6)*1*(1-0.03)</f>
        <v>261.13311241088314</v>
      </c>
      <c r="AB85" s="6">
        <f>$K$85*$V$85</f>
        <v>0</v>
      </c>
      <c r="AC85" s="6">
        <f>$M$85*$W$85</f>
        <v>18594.424632000002</v>
      </c>
      <c r="AD85" s="6">
        <f>$O$85*$X$85</f>
        <v>44079.209439999999</v>
      </c>
      <c r="AE85" s="6">
        <f>$K$85*$Y$85</f>
        <v>0</v>
      </c>
      <c r="AF85" s="6">
        <f ca="1">$M$85*$Z$85</f>
        <v>25982.450966597127</v>
      </c>
      <c r="AG85" s="6">
        <f>$O$85*$AA$85</f>
        <v>55258.377917266982</v>
      </c>
    </row>
    <row r="86" spans="1:33" ht="11.25" customHeight="1" x14ac:dyDescent="0.3">
      <c r="A86" s="4" t="s">
        <v>21</v>
      </c>
      <c r="B86" s="4" t="s">
        <v>38</v>
      </c>
      <c r="C86" s="4" t="s">
        <v>39</v>
      </c>
      <c r="D86" s="4" t="s">
        <v>47</v>
      </c>
      <c r="E86" s="4" t="s">
        <v>48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906</v>
      </c>
      <c r="K86" s="53">
        <v>906</v>
      </c>
      <c r="L86" s="6">
        <v>0</v>
      </c>
      <c r="M86" s="52">
        <v>0</v>
      </c>
      <c r="N86" s="6">
        <v>0</v>
      </c>
      <c r="O86" s="52">
        <v>0</v>
      </c>
      <c r="P86" s="6">
        <v>3</v>
      </c>
      <c r="Q86" s="4" t="s">
        <v>26</v>
      </c>
      <c r="R86" s="4">
        <v>0</v>
      </c>
      <c r="S86" s="6">
        <v>47</v>
      </c>
      <c r="T86" s="6">
        <v>0</v>
      </c>
      <c r="U86" s="6">
        <v>0</v>
      </c>
      <c r="V86" s="52">
        <f>IF(ISERROR(VLOOKUP($S$86,'TAR FIN'!$A$1:$O$85,15,0)),0,VLOOKUP($S$86,'TAR FIN'!$A$1:$O$85,15,0))*(1-0.06)</f>
        <v>28.049599999999998</v>
      </c>
      <c r="W86" s="52">
        <f>IF(ISERROR(VLOOKUP($T$86,'TAR FIN'!$A$1:$O$85,15,0)),0,VLOOKUP($T$86,'TAR FIN'!$A$1:$O$85,15,0))</f>
        <v>0</v>
      </c>
      <c r="X86" s="52">
        <f>IF(ISERROR(VLOOKUP($U$86,'TAR FIN'!$A$1:$O$85,15,0)),0,VLOOKUP($U$86,'TAR FIN'!$A$1:$O$85,15,0))</f>
        <v>0</v>
      </c>
      <c r="Y86" s="52">
        <f ca="1">('TUSD BE'!$AM$10+'TUSD BF'!$AM$10+'TUSD CVA'!$AM$10)*1*(1-0.03)</f>
        <v>31.243286939352302</v>
      </c>
      <c r="Z86" s="52"/>
      <c r="AA86" s="52"/>
      <c r="AB86" s="6">
        <f>$K$86*$V$86</f>
        <v>25412.937599999997</v>
      </c>
      <c r="AC86" s="6">
        <f>$M$86*$W$86</f>
        <v>0</v>
      </c>
      <c r="AD86" s="6">
        <f>$O$86*$X$86</f>
        <v>0</v>
      </c>
      <c r="AE86" s="6">
        <f ca="1">$K$86*$Y$86</f>
        <v>28306.417967053185</v>
      </c>
      <c r="AF86" s="6">
        <f>$M$86*$Z$86</f>
        <v>0</v>
      </c>
      <c r="AG86" s="6">
        <f>$O$86*$AA$86</f>
        <v>0</v>
      </c>
    </row>
    <row r="87" spans="1:33" ht="11.25" customHeight="1" x14ac:dyDescent="0.3">
      <c r="A87" s="4" t="s">
        <v>21</v>
      </c>
      <c r="B87" s="4" t="s">
        <v>38</v>
      </c>
      <c r="C87" s="4" t="s">
        <v>39</v>
      </c>
      <c r="D87" s="4" t="s">
        <v>47</v>
      </c>
      <c r="E87" s="4" t="s">
        <v>48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906</v>
      </c>
      <c r="K87" s="53">
        <v>906</v>
      </c>
      <c r="L87" s="6">
        <v>0</v>
      </c>
      <c r="M87" s="52">
        <v>0</v>
      </c>
      <c r="N87" s="6">
        <v>0</v>
      </c>
      <c r="O87" s="52">
        <v>0</v>
      </c>
      <c r="P87" s="6">
        <v>3</v>
      </c>
      <c r="Q87" s="4" t="s">
        <v>26</v>
      </c>
      <c r="R87" s="4">
        <v>0</v>
      </c>
      <c r="S87" s="6">
        <v>47</v>
      </c>
      <c r="T87" s="6">
        <v>0</v>
      </c>
      <c r="U87" s="6">
        <v>0</v>
      </c>
      <c r="V87" s="52">
        <f>IF(ISERROR(VLOOKUP($S$87,'TAR FIN'!$A$1:$O$85,15,0)),0,VLOOKUP($S$87,'TAR FIN'!$A$1:$O$85,15,0))*(1-0.06)</f>
        <v>28.049599999999998</v>
      </c>
      <c r="W87" s="52">
        <f>IF(ISERROR(VLOOKUP($T$87,'TAR FIN'!$A$1:$O$85,15,0)),0,VLOOKUP($T$87,'TAR FIN'!$A$1:$O$85,15,0))</f>
        <v>0</v>
      </c>
      <c r="X87" s="52">
        <f>IF(ISERROR(VLOOKUP($U$87,'TAR FIN'!$A$1:$O$85,15,0)),0,VLOOKUP($U$87,'TAR FIN'!$A$1:$O$85,15,0))</f>
        <v>0</v>
      </c>
      <c r="Y87" s="52">
        <f ca="1">('TUSD BE'!$AM$10+'TUSD BF'!$AM$10+'TUSD CVA'!$AM$10)*1*(1-0.03)</f>
        <v>31.243286939352302</v>
      </c>
      <c r="Z87" s="52"/>
      <c r="AA87" s="52"/>
      <c r="AB87" s="6">
        <f>$K$87*$V$87</f>
        <v>25412.937599999997</v>
      </c>
      <c r="AC87" s="6">
        <f>$M$87*$W$87</f>
        <v>0</v>
      </c>
      <c r="AD87" s="6">
        <f>$O$87*$X$87</f>
        <v>0</v>
      </c>
      <c r="AE87" s="6">
        <f ca="1">$K$87*$Y$87</f>
        <v>28306.417967053185</v>
      </c>
      <c r="AF87" s="6">
        <f>$M$87*$Z$87</f>
        <v>0</v>
      </c>
      <c r="AG87" s="6">
        <f>$O$87*$AA$87</f>
        <v>0</v>
      </c>
    </row>
    <row r="88" spans="1:33" ht="11.25" customHeight="1" x14ac:dyDescent="0.3">
      <c r="A88" s="4" t="s">
        <v>21</v>
      </c>
      <c r="B88" s="4" t="s">
        <v>38</v>
      </c>
      <c r="C88" s="4" t="s">
        <v>39</v>
      </c>
      <c r="D88" s="4" t="s">
        <v>47</v>
      </c>
      <c r="E88" s="4" t="s">
        <v>48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906</v>
      </c>
      <c r="K88" s="53">
        <v>906</v>
      </c>
      <c r="L88" s="6">
        <v>0</v>
      </c>
      <c r="M88" s="52">
        <v>0</v>
      </c>
      <c r="N88" s="6">
        <v>0</v>
      </c>
      <c r="O88" s="52">
        <v>0</v>
      </c>
      <c r="P88" s="6">
        <v>3</v>
      </c>
      <c r="Q88" s="4" t="s">
        <v>26</v>
      </c>
      <c r="R88" s="4">
        <v>0</v>
      </c>
      <c r="S88" s="6">
        <v>47</v>
      </c>
      <c r="T88" s="6">
        <v>0</v>
      </c>
      <c r="U88" s="6">
        <v>0</v>
      </c>
      <c r="V88" s="52">
        <f>IF(ISERROR(VLOOKUP($S$88,'TAR FIN'!$A$1:$O$85,15,0)),0,VLOOKUP($S$88,'TAR FIN'!$A$1:$O$85,15,0))*(1-0.06)</f>
        <v>28.049599999999998</v>
      </c>
      <c r="W88" s="52">
        <f>IF(ISERROR(VLOOKUP($T$88,'TAR FIN'!$A$1:$O$85,15,0)),0,VLOOKUP($T$88,'TAR FIN'!$A$1:$O$85,15,0))</f>
        <v>0</v>
      </c>
      <c r="X88" s="52">
        <f>IF(ISERROR(VLOOKUP($U$88,'TAR FIN'!$A$1:$O$85,15,0)),0,VLOOKUP($U$88,'TAR FIN'!$A$1:$O$85,15,0))</f>
        <v>0</v>
      </c>
      <c r="Y88" s="52">
        <f ca="1">('TUSD BE'!$AM$10+'TUSD BF'!$AM$10+'TUSD CVA'!$AM$10)*1*(1-0.03)</f>
        <v>31.243286939352302</v>
      </c>
      <c r="Z88" s="52"/>
      <c r="AA88" s="52"/>
      <c r="AB88" s="6">
        <f>$K$88*$V$88</f>
        <v>25412.937599999997</v>
      </c>
      <c r="AC88" s="6">
        <f>$M$88*$W$88</f>
        <v>0</v>
      </c>
      <c r="AD88" s="6">
        <f>$O$88*$X$88</f>
        <v>0</v>
      </c>
      <c r="AE88" s="6">
        <f ca="1">$K$88*$Y$88</f>
        <v>28306.417967053185</v>
      </c>
      <c r="AF88" s="6">
        <f>$M$88*$Z$88</f>
        <v>0</v>
      </c>
      <c r="AG88" s="6">
        <f>$O$88*$AA$88</f>
        <v>0</v>
      </c>
    </row>
    <row r="89" spans="1:33" ht="11.25" customHeight="1" x14ac:dyDescent="0.3">
      <c r="A89" s="4" t="s">
        <v>21</v>
      </c>
      <c r="B89" s="4" t="s">
        <v>38</v>
      </c>
      <c r="C89" s="4" t="s">
        <v>39</v>
      </c>
      <c r="D89" s="4" t="s">
        <v>47</v>
      </c>
      <c r="E89" s="4" t="s">
        <v>48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906</v>
      </c>
      <c r="K89" s="53">
        <v>906</v>
      </c>
      <c r="L89" s="6">
        <v>0</v>
      </c>
      <c r="M89" s="52">
        <v>0</v>
      </c>
      <c r="N89" s="6">
        <v>0</v>
      </c>
      <c r="O89" s="52">
        <v>0</v>
      </c>
      <c r="P89" s="6">
        <v>3</v>
      </c>
      <c r="Q89" s="4" t="s">
        <v>26</v>
      </c>
      <c r="R89" s="4">
        <v>0</v>
      </c>
      <c r="S89" s="6">
        <v>47</v>
      </c>
      <c r="T89" s="6">
        <v>0</v>
      </c>
      <c r="U89" s="6">
        <v>0</v>
      </c>
      <c r="V89" s="52">
        <f>IF(ISERROR(VLOOKUP($S$89,'TAR FIN'!$A$1:$O$85,15,0)),0,VLOOKUP($S$89,'TAR FIN'!$A$1:$O$85,15,0))*(1-0.06)</f>
        <v>28.049599999999998</v>
      </c>
      <c r="W89" s="52">
        <f>IF(ISERROR(VLOOKUP($T$89,'TAR FIN'!$A$1:$O$85,15,0)),0,VLOOKUP($T$89,'TAR FIN'!$A$1:$O$85,15,0))</f>
        <v>0</v>
      </c>
      <c r="X89" s="52">
        <f>IF(ISERROR(VLOOKUP($U$89,'TAR FIN'!$A$1:$O$85,15,0)),0,VLOOKUP($U$89,'TAR FIN'!$A$1:$O$85,15,0))</f>
        <v>0</v>
      </c>
      <c r="Y89" s="52">
        <f ca="1">('TUSD BE'!$AM$10+'TUSD BF'!$AM$10+'TUSD CVA'!$AM$10)*1*(1-0.03)</f>
        <v>31.243286939352302</v>
      </c>
      <c r="Z89" s="52"/>
      <c r="AA89" s="52"/>
      <c r="AB89" s="6">
        <f>$K$89*$V$89</f>
        <v>25412.937599999997</v>
      </c>
      <c r="AC89" s="6">
        <f>$M$89*$W$89</f>
        <v>0</v>
      </c>
      <c r="AD89" s="6">
        <f>$O$89*$X$89</f>
        <v>0</v>
      </c>
      <c r="AE89" s="6">
        <f ca="1">$K$89*$Y$89</f>
        <v>28306.417967053185</v>
      </c>
      <c r="AF89" s="6">
        <f>$M$89*$Z$89</f>
        <v>0</v>
      </c>
      <c r="AG89" s="6">
        <f>$O$89*$AA$89</f>
        <v>0</v>
      </c>
    </row>
    <row r="90" spans="1:33" ht="11.25" customHeight="1" x14ac:dyDescent="0.3">
      <c r="A90" s="4" t="s">
        <v>21</v>
      </c>
      <c r="B90" s="4" t="s">
        <v>38</v>
      </c>
      <c r="C90" s="4" t="s">
        <v>39</v>
      </c>
      <c r="D90" s="4" t="s">
        <v>47</v>
      </c>
      <c r="E90" s="4" t="s">
        <v>48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556</v>
      </c>
      <c r="K90" s="53">
        <v>556</v>
      </c>
      <c r="L90" s="6">
        <v>0</v>
      </c>
      <c r="M90" s="52">
        <v>0</v>
      </c>
      <c r="N90" s="6">
        <v>0</v>
      </c>
      <c r="O90" s="52">
        <v>0</v>
      </c>
      <c r="P90" s="6">
        <v>2</v>
      </c>
      <c r="Q90" s="4" t="s">
        <v>26</v>
      </c>
      <c r="R90" s="4">
        <v>0</v>
      </c>
      <c r="S90" s="6">
        <v>47</v>
      </c>
      <c r="T90" s="6">
        <v>0</v>
      </c>
      <c r="U90" s="6">
        <v>0</v>
      </c>
      <c r="V90" s="52">
        <f>IF(ISERROR(VLOOKUP($S$90,'TAR FIN'!$A$1:$O$85,15,0)),0,VLOOKUP($S$90,'TAR FIN'!$A$1:$O$85,15,0))*(1-0.06)</f>
        <v>28.049599999999998</v>
      </c>
      <c r="W90" s="52">
        <f>IF(ISERROR(VLOOKUP($T$90,'TAR FIN'!$A$1:$O$85,15,0)),0,VLOOKUP($T$90,'TAR FIN'!$A$1:$O$85,15,0))</f>
        <v>0</v>
      </c>
      <c r="X90" s="52">
        <f>IF(ISERROR(VLOOKUP($U$90,'TAR FIN'!$A$1:$O$85,15,0)),0,VLOOKUP($U$90,'TAR FIN'!$A$1:$O$85,15,0))</f>
        <v>0</v>
      </c>
      <c r="Y90" s="52">
        <f ca="1">('TUSD BE'!$AM$10+'TUSD BF'!$AM$10+'TUSD CVA'!$AM$10)*1*(1-0.03)</f>
        <v>31.243286939352302</v>
      </c>
      <c r="Z90" s="52"/>
      <c r="AA90" s="52"/>
      <c r="AB90" s="6">
        <f>$K$90*$V$90</f>
        <v>15595.577599999999</v>
      </c>
      <c r="AC90" s="6">
        <f>$M$90*$W$90</f>
        <v>0</v>
      </c>
      <c r="AD90" s="6">
        <f>$O$90*$X$90</f>
        <v>0</v>
      </c>
      <c r="AE90" s="6">
        <f ca="1">$K$90*$Y$90</f>
        <v>17371.267538279881</v>
      </c>
      <c r="AF90" s="6">
        <f>$M$90*$Z$90</f>
        <v>0</v>
      </c>
      <c r="AG90" s="6">
        <f>$O$90*$AA$90</f>
        <v>0</v>
      </c>
    </row>
    <row r="91" spans="1:33" ht="11.25" customHeight="1" x14ac:dyDescent="0.3">
      <c r="A91" s="4" t="s">
        <v>21</v>
      </c>
      <c r="B91" s="4" t="s">
        <v>38</v>
      </c>
      <c r="C91" s="4" t="s">
        <v>39</v>
      </c>
      <c r="D91" s="4" t="s">
        <v>47</v>
      </c>
      <c r="E91" s="4" t="s">
        <v>48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556</v>
      </c>
      <c r="K91" s="53">
        <v>556</v>
      </c>
      <c r="L91" s="6">
        <v>0</v>
      </c>
      <c r="M91" s="52">
        <v>0</v>
      </c>
      <c r="N91" s="6">
        <v>0</v>
      </c>
      <c r="O91" s="52">
        <v>0</v>
      </c>
      <c r="P91" s="6">
        <v>2</v>
      </c>
      <c r="Q91" s="4" t="s">
        <v>26</v>
      </c>
      <c r="R91" s="4">
        <v>0</v>
      </c>
      <c r="S91" s="6">
        <v>47</v>
      </c>
      <c r="T91" s="6">
        <v>0</v>
      </c>
      <c r="U91" s="6">
        <v>0</v>
      </c>
      <c r="V91" s="52">
        <f>IF(ISERROR(VLOOKUP($S$91,'TAR FIN'!$A$1:$O$85,15,0)),0,VLOOKUP($S$91,'TAR FIN'!$A$1:$O$85,15,0))*(1-0.06)</f>
        <v>28.049599999999998</v>
      </c>
      <c r="W91" s="52">
        <f>IF(ISERROR(VLOOKUP($T$91,'TAR FIN'!$A$1:$O$85,15,0)),0,VLOOKUP($T$91,'TAR FIN'!$A$1:$O$85,15,0))</f>
        <v>0</v>
      </c>
      <c r="X91" s="52">
        <f>IF(ISERROR(VLOOKUP($U$91,'TAR FIN'!$A$1:$O$85,15,0)),0,VLOOKUP($U$91,'TAR FIN'!$A$1:$O$85,15,0))</f>
        <v>0</v>
      </c>
      <c r="Y91" s="52">
        <f ca="1">('TUSD BE'!$AM$10+'TUSD BF'!$AM$10+'TUSD CVA'!$AM$10)*1*(1-0.03)</f>
        <v>31.243286939352302</v>
      </c>
      <c r="Z91" s="52"/>
      <c r="AA91" s="52"/>
      <c r="AB91" s="6">
        <f>$K$91*$V$91</f>
        <v>15595.577599999999</v>
      </c>
      <c r="AC91" s="6">
        <f>$M$91*$W$91</f>
        <v>0</v>
      </c>
      <c r="AD91" s="6">
        <f>$O$91*$X$91</f>
        <v>0</v>
      </c>
      <c r="AE91" s="6">
        <f ca="1">$K$91*$Y$91</f>
        <v>17371.267538279881</v>
      </c>
      <c r="AF91" s="6">
        <f>$M$91*$Z$91</f>
        <v>0</v>
      </c>
      <c r="AG91" s="6">
        <f>$O$91*$AA$91</f>
        <v>0</v>
      </c>
    </row>
    <row r="92" spans="1:33" ht="11.25" customHeight="1" x14ac:dyDescent="0.3">
      <c r="A92" s="4" t="s">
        <v>21</v>
      </c>
      <c r="B92" s="4" t="s">
        <v>38</v>
      </c>
      <c r="C92" s="4" t="s">
        <v>39</v>
      </c>
      <c r="D92" s="4" t="s">
        <v>47</v>
      </c>
      <c r="E92" s="4" t="s">
        <v>48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556</v>
      </c>
      <c r="K92" s="53">
        <v>556</v>
      </c>
      <c r="L92" s="6">
        <v>0</v>
      </c>
      <c r="M92" s="52">
        <v>0</v>
      </c>
      <c r="N92" s="6">
        <v>0</v>
      </c>
      <c r="O92" s="52">
        <v>0</v>
      </c>
      <c r="P92" s="6">
        <v>2</v>
      </c>
      <c r="Q92" s="4" t="s">
        <v>26</v>
      </c>
      <c r="R92" s="4">
        <v>0</v>
      </c>
      <c r="S92" s="6">
        <v>47</v>
      </c>
      <c r="T92" s="6">
        <v>0</v>
      </c>
      <c r="U92" s="6">
        <v>0</v>
      </c>
      <c r="V92" s="52">
        <f>IF(ISERROR(VLOOKUP($S$92,'TAR FIN'!$A$1:$O$85,15,0)),0,VLOOKUP($S$92,'TAR FIN'!$A$1:$O$85,15,0))*(1-0.06)</f>
        <v>28.049599999999998</v>
      </c>
      <c r="W92" s="52">
        <f>IF(ISERROR(VLOOKUP($T$92,'TAR FIN'!$A$1:$O$85,15,0)),0,VLOOKUP($T$92,'TAR FIN'!$A$1:$O$85,15,0))</f>
        <v>0</v>
      </c>
      <c r="X92" s="52">
        <f>IF(ISERROR(VLOOKUP($U$92,'TAR FIN'!$A$1:$O$85,15,0)),0,VLOOKUP($U$92,'TAR FIN'!$A$1:$O$85,15,0))</f>
        <v>0</v>
      </c>
      <c r="Y92" s="52">
        <f ca="1">('TUSD BE'!$AM$10+'TUSD BF'!$AM$10+'TUSD CVA'!$AM$10)*1*(1-0.03)</f>
        <v>31.243286939352302</v>
      </c>
      <c r="Z92" s="52"/>
      <c r="AA92" s="52"/>
      <c r="AB92" s="6">
        <f>$K$92*$V$92</f>
        <v>15595.577599999999</v>
      </c>
      <c r="AC92" s="6">
        <f>$M$92*$W$92</f>
        <v>0</v>
      </c>
      <c r="AD92" s="6">
        <f>$O$92*$X$92</f>
        <v>0</v>
      </c>
      <c r="AE92" s="6">
        <f ca="1">$K$92*$Y$92</f>
        <v>17371.267538279881</v>
      </c>
      <c r="AF92" s="6">
        <f>$M$92*$Z$92</f>
        <v>0</v>
      </c>
      <c r="AG92" s="6">
        <f>$O$92*$AA$92</f>
        <v>0</v>
      </c>
    </row>
    <row r="93" spans="1:33" ht="11.25" customHeight="1" x14ac:dyDescent="0.3">
      <c r="A93" s="4" t="s">
        <v>21</v>
      </c>
      <c r="B93" s="4" t="s">
        <v>38</v>
      </c>
      <c r="C93" s="4" t="s">
        <v>39</v>
      </c>
      <c r="D93" s="4" t="s">
        <v>47</v>
      </c>
      <c r="E93" s="4" t="s">
        <v>48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556</v>
      </c>
      <c r="K93" s="53">
        <v>556</v>
      </c>
      <c r="L93" s="6">
        <v>0</v>
      </c>
      <c r="M93" s="52">
        <v>0</v>
      </c>
      <c r="N93" s="6">
        <v>0</v>
      </c>
      <c r="O93" s="52">
        <v>0</v>
      </c>
      <c r="P93" s="6">
        <v>2</v>
      </c>
      <c r="Q93" s="4" t="s">
        <v>26</v>
      </c>
      <c r="R93" s="4">
        <v>0</v>
      </c>
      <c r="S93" s="6">
        <v>47</v>
      </c>
      <c r="T93" s="6">
        <v>0</v>
      </c>
      <c r="U93" s="6">
        <v>0</v>
      </c>
      <c r="V93" s="52">
        <f>IF(ISERROR(VLOOKUP($S$93,'TAR FIN'!$A$1:$O$85,15,0)),0,VLOOKUP($S$93,'TAR FIN'!$A$1:$O$85,15,0))*(1-0.06)</f>
        <v>28.049599999999998</v>
      </c>
      <c r="W93" s="52">
        <f>IF(ISERROR(VLOOKUP($T$93,'TAR FIN'!$A$1:$O$85,15,0)),0,VLOOKUP($T$93,'TAR FIN'!$A$1:$O$85,15,0))</f>
        <v>0</v>
      </c>
      <c r="X93" s="52">
        <f>IF(ISERROR(VLOOKUP($U$93,'TAR FIN'!$A$1:$O$85,15,0)),0,VLOOKUP($U$93,'TAR FIN'!$A$1:$O$85,15,0))</f>
        <v>0</v>
      </c>
      <c r="Y93" s="52">
        <f ca="1">('TUSD BE'!$AM$10+'TUSD BF'!$AM$10+'TUSD CVA'!$AM$10)*1*(1-0.03)</f>
        <v>31.243286939352302</v>
      </c>
      <c r="Z93" s="52"/>
      <c r="AA93" s="52"/>
      <c r="AB93" s="6">
        <f>$K$93*$V$93</f>
        <v>15595.577599999999</v>
      </c>
      <c r="AC93" s="6">
        <f>$M$93*$W$93</f>
        <v>0</v>
      </c>
      <c r="AD93" s="6">
        <f>$O$93*$X$93</f>
        <v>0</v>
      </c>
      <c r="AE93" s="6">
        <f ca="1">$K$93*$Y$93</f>
        <v>17371.267538279881</v>
      </c>
      <c r="AF93" s="6">
        <f>$M$93*$Z$93</f>
        <v>0</v>
      </c>
      <c r="AG93" s="6">
        <f>$O$93*$AA$93</f>
        <v>0</v>
      </c>
    </row>
    <row r="94" spans="1:33" ht="11.25" customHeight="1" x14ac:dyDescent="0.3">
      <c r="A94" s="4" t="s">
        <v>21</v>
      </c>
      <c r="B94" s="4" t="s">
        <v>38</v>
      </c>
      <c r="C94" s="4" t="s">
        <v>39</v>
      </c>
      <c r="D94" s="4" t="s">
        <v>47</v>
      </c>
      <c r="E94" s="4" t="s">
        <v>48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556</v>
      </c>
      <c r="K94" s="53">
        <v>556</v>
      </c>
      <c r="L94" s="6">
        <v>0</v>
      </c>
      <c r="M94" s="52">
        <v>0</v>
      </c>
      <c r="N94" s="6">
        <v>0</v>
      </c>
      <c r="O94" s="52">
        <v>0</v>
      </c>
      <c r="P94" s="6">
        <v>2</v>
      </c>
      <c r="Q94" s="4" t="s">
        <v>26</v>
      </c>
      <c r="R94" s="4">
        <v>0</v>
      </c>
      <c r="S94" s="6">
        <v>47</v>
      </c>
      <c r="T94" s="6">
        <v>0</v>
      </c>
      <c r="U94" s="6">
        <v>0</v>
      </c>
      <c r="V94" s="52">
        <f>IF(ISERROR(VLOOKUP($S$94,'TAR FIN'!$A$1:$O$85,15,0)),0,VLOOKUP($S$94,'TAR FIN'!$A$1:$O$85,15,0))*(1-0.06)</f>
        <v>28.049599999999998</v>
      </c>
      <c r="W94" s="52">
        <f>IF(ISERROR(VLOOKUP($T$94,'TAR FIN'!$A$1:$O$85,15,0)),0,VLOOKUP($T$94,'TAR FIN'!$A$1:$O$85,15,0))</f>
        <v>0</v>
      </c>
      <c r="X94" s="52">
        <f>IF(ISERROR(VLOOKUP($U$94,'TAR FIN'!$A$1:$O$85,15,0)),0,VLOOKUP($U$94,'TAR FIN'!$A$1:$O$85,15,0))</f>
        <v>0</v>
      </c>
      <c r="Y94" s="52">
        <f ca="1">('TUSD BE'!$AM$10+'TUSD BF'!$AM$10+'TUSD CVA'!$AM$10)*1*(1-0.03)</f>
        <v>31.243286939352302</v>
      </c>
      <c r="Z94" s="52"/>
      <c r="AA94" s="52"/>
      <c r="AB94" s="6">
        <f>$K$94*$V$94</f>
        <v>15595.577599999999</v>
      </c>
      <c r="AC94" s="6">
        <f>$M$94*$W$94</f>
        <v>0</v>
      </c>
      <c r="AD94" s="6">
        <f>$O$94*$X$94</f>
        <v>0</v>
      </c>
      <c r="AE94" s="6">
        <f ca="1">$K$94*$Y$94</f>
        <v>17371.267538279881</v>
      </c>
      <c r="AF94" s="6">
        <f>$M$94*$Z$94</f>
        <v>0</v>
      </c>
      <c r="AG94" s="6">
        <f>$O$94*$AA$94</f>
        <v>0</v>
      </c>
    </row>
    <row r="95" spans="1:33" ht="11.25" customHeight="1" x14ac:dyDescent="0.3">
      <c r="A95" s="4" t="s">
        <v>21</v>
      </c>
      <c r="B95" s="4" t="s">
        <v>38</v>
      </c>
      <c r="C95" s="4" t="s">
        <v>39</v>
      </c>
      <c r="D95" s="4" t="s">
        <v>47</v>
      </c>
      <c r="E95" s="4" t="s">
        <v>48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556</v>
      </c>
      <c r="K95" s="53">
        <v>556</v>
      </c>
      <c r="L95" s="6">
        <v>0</v>
      </c>
      <c r="M95" s="52">
        <v>0</v>
      </c>
      <c r="N95" s="6">
        <v>0</v>
      </c>
      <c r="O95" s="52">
        <v>0</v>
      </c>
      <c r="P95" s="6">
        <v>2</v>
      </c>
      <c r="Q95" s="4" t="s">
        <v>26</v>
      </c>
      <c r="R95" s="4">
        <v>0</v>
      </c>
      <c r="S95" s="6">
        <v>47</v>
      </c>
      <c r="T95" s="6">
        <v>0</v>
      </c>
      <c r="U95" s="6">
        <v>0</v>
      </c>
      <c r="V95" s="52">
        <f>IF(ISERROR(VLOOKUP($S$95,'TAR FIN'!$A$1:$O$85,15,0)),0,VLOOKUP($S$95,'TAR FIN'!$A$1:$O$85,15,0))*(1-0.06)</f>
        <v>28.049599999999998</v>
      </c>
      <c r="W95" s="52">
        <f>IF(ISERROR(VLOOKUP($T$95,'TAR FIN'!$A$1:$O$85,15,0)),0,VLOOKUP($T$95,'TAR FIN'!$A$1:$O$85,15,0))</f>
        <v>0</v>
      </c>
      <c r="X95" s="52">
        <f>IF(ISERROR(VLOOKUP($U$95,'TAR FIN'!$A$1:$O$85,15,0)),0,VLOOKUP($U$95,'TAR FIN'!$A$1:$O$85,15,0))</f>
        <v>0</v>
      </c>
      <c r="Y95" s="52">
        <f ca="1">('TUSD BE'!$AM$10+'TUSD BF'!$AM$10+'TUSD CVA'!$AM$10)*1*(1-0.03)</f>
        <v>31.243286939352302</v>
      </c>
      <c r="Z95" s="52"/>
      <c r="AA95" s="52"/>
      <c r="AB95" s="6">
        <f>$K$95*$V$95</f>
        <v>15595.577599999999</v>
      </c>
      <c r="AC95" s="6">
        <f>$M$95*$W$95</f>
        <v>0</v>
      </c>
      <c r="AD95" s="6">
        <f>$O$95*$X$95</f>
        <v>0</v>
      </c>
      <c r="AE95" s="6">
        <f ca="1">$K$95*$Y$95</f>
        <v>17371.267538279881</v>
      </c>
      <c r="AF95" s="6">
        <f>$M$95*$Z$95</f>
        <v>0</v>
      </c>
      <c r="AG95" s="6">
        <f>$O$95*$AA$95</f>
        <v>0</v>
      </c>
    </row>
    <row r="96" spans="1:33" ht="11.25" customHeight="1" x14ac:dyDescent="0.3">
      <c r="A96" s="4" t="s">
        <v>21</v>
      </c>
      <c r="B96" s="4" t="s">
        <v>38</v>
      </c>
      <c r="C96" s="4" t="s">
        <v>39</v>
      </c>
      <c r="D96" s="4" t="s">
        <v>47</v>
      </c>
      <c r="E96" s="4" t="s">
        <v>48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557</v>
      </c>
      <c r="K96" s="53">
        <v>557</v>
      </c>
      <c r="L96" s="6">
        <v>0</v>
      </c>
      <c r="M96" s="52">
        <v>0</v>
      </c>
      <c r="N96" s="6">
        <v>0</v>
      </c>
      <c r="O96" s="52">
        <v>0</v>
      </c>
      <c r="P96" s="6">
        <v>2</v>
      </c>
      <c r="Q96" s="4" t="s">
        <v>26</v>
      </c>
      <c r="R96" s="4">
        <v>0</v>
      </c>
      <c r="S96" s="6">
        <v>47</v>
      </c>
      <c r="T96" s="6">
        <v>0</v>
      </c>
      <c r="U96" s="6">
        <v>0</v>
      </c>
      <c r="V96" s="52">
        <f>IF(ISERROR(VLOOKUP($S$96,'TAR FIN'!$A$1:$O$85,15,0)),0,VLOOKUP($S$96,'TAR FIN'!$A$1:$O$85,15,0))*(1-0.06)</f>
        <v>28.049599999999998</v>
      </c>
      <c r="W96" s="52">
        <f>IF(ISERROR(VLOOKUP($T$96,'TAR FIN'!$A$1:$O$85,15,0)),0,VLOOKUP($T$96,'TAR FIN'!$A$1:$O$85,15,0))</f>
        <v>0</v>
      </c>
      <c r="X96" s="52">
        <f>IF(ISERROR(VLOOKUP($U$96,'TAR FIN'!$A$1:$O$85,15,0)),0,VLOOKUP($U$96,'TAR FIN'!$A$1:$O$85,15,0))</f>
        <v>0</v>
      </c>
      <c r="Y96" s="52">
        <f ca="1">('TUSD BE'!$AM$10+'TUSD BF'!$AM$10+'TUSD CVA'!$AM$10)*1*(1-0.03)</f>
        <v>31.243286939352302</v>
      </c>
      <c r="Z96" s="52"/>
      <c r="AA96" s="52"/>
      <c r="AB96" s="6">
        <f>$K$96*$V$96</f>
        <v>15623.627199999999</v>
      </c>
      <c r="AC96" s="6">
        <f>$M$96*$W$96</f>
        <v>0</v>
      </c>
      <c r="AD96" s="6">
        <f>$O$96*$X$96</f>
        <v>0</v>
      </c>
      <c r="AE96" s="6">
        <f ca="1">$K$96*$Y$96</f>
        <v>17402.510825219233</v>
      </c>
      <c r="AF96" s="6">
        <f>$M$96*$Z$96</f>
        <v>0</v>
      </c>
      <c r="AG96" s="6">
        <f>$O$96*$AA$96</f>
        <v>0</v>
      </c>
    </row>
    <row r="97" spans="1:33" ht="11.25" customHeight="1" x14ac:dyDescent="0.3">
      <c r="A97" s="4" t="s">
        <v>21</v>
      </c>
      <c r="B97" s="4" t="s">
        <v>38</v>
      </c>
      <c r="C97" s="4" t="s">
        <v>39</v>
      </c>
      <c r="D97" s="4" t="s">
        <v>47</v>
      </c>
      <c r="E97" s="4" t="s">
        <v>48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556</v>
      </c>
      <c r="K97" s="53">
        <v>556</v>
      </c>
      <c r="L97" s="6">
        <v>0</v>
      </c>
      <c r="M97" s="52">
        <v>0</v>
      </c>
      <c r="N97" s="6">
        <v>0</v>
      </c>
      <c r="O97" s="52">
        <v>0</v>
      </c>
      <c r="P97" s="6">
        <v>2</v>
      </c>
      <c r="Q97" s="4" t="s">
        <v>26</v>
      </c>
      <c r="R97" s="4">
        <v>0</v>
      </c>
      <c r="S97" s="6">
        <v>47</v>
      </c>
      <c r="T97" s="6">
        <v>0</v>
      </c>
      <c r="U97" s="6">
        <v>0</v>
      </c>
      <c r="V97" s="52">
        <f>IF(ISERROR(VLOOKUP($S$97,'TAR FIN'!$A$1:$O$85,15,0)),0,VLOOKUP($S$97,'TAR FIN'!$A$1:$O$85,15,0))*(1-0.06)</f>
        <v>28.049599999999998</v>
      </c>
      <c r="W97" s="52">
        <f>IF(ISERROR(VLOOKUP($T$97,'TAR FIN'!$A$1:$O$85,15,0)),0,VLOOKUP($T$97,'TAR FIN'!$A$1:$O$85,15,0))</f>
        <v>0</v>
      </c>
      <c r="X97" s="52">
        <f>IF(ISERROR(VLOOKUP($U$97,'TAR FIN'!$A$1:$O$85,15,0)),0,VLOOKUP($U$97,'TAR FIN'!$A$1:$O$85,15,0))</f>
        <v>0</v>
      </c>
      <c r="Y97" s="52">
        <f ca="1">('TUSD BE'!$AM$10+'TUSD BF'!$AM$10+'TUSD CVA'!$AM$10)*1*(1-0.03)</f>
        <v>31.243286939352302</v>
      </c>
      <c r="Z97" s="52"/>
      <c r="AA97" s="52"/>
      <c r="AB97" s="6">
        <f>$K$97*$V$97</f>
        <v>15595.577599999999</v>
      </c>
      <c r="AC97" s="6">
        <f>$M$97*$W$97</f>
        <v>0</v>
      </c>
      <c r="AD97" s="6">
        <f>$O$97*$X$97</f>
        <v>0</v>
      </c>
      <c r="AE97" s="6">
        <f ca="1">$K$97*$Y$97</f>
        <v>17371.267538279881</v>
      </c>
      <c r="AF97" s="6">
        <f>$M$97*$Z$97</f>
        <v>0</v>
      </c>
      <c r="AG97" s="6">
        <f>$O$97*$AA$97</f>
        <v>0</v>
      </c>
    </row>
    <row r="98" spans="1:33" ht="11.25" customHeight="1" x14ac:dyDescent="0.3">
      <c r="A98" s="4" t="s">
        <v>21</v>
      </c>
      <c r="B98" s="4" t="s">
        <v>38</v>
      </c>
      <c r="C98" s="4" t="s">
        <v>39</v>
      </c>
      <c r="D98" s="4" t="s">
        <v>47</v>
      </c>
      <c r="E98" s="4" t="s">
        <v>48</v>
      </c>
      <c r="F98" s="4" t="s">
        <v>25</v>
      </c>
      <c r="G98" s="4" t="s">
        <v>25</v>
      </c>
      <c r="H98" s="4" t="s">
        <v>40</v>
      </c>
      <c r="I98" s="5">
        <v>44440</v>
      </c>
      <c r="J98" s="6">
        <v>0</v>
      </c>
      <c r="K98" s="52">
        <v>0</v>
      </c>
      <c r="L98" s="6">
        <v>21.111000000000001</v>
      </c>
      <c r="M98" s="52">
        <v>21.111000000000001</v>
      </c>
      <c r="N98" s="6">
        <v>21.111000000000001</v>
      </c>
      <c r="O98" s="52">
        <v>21.111000000000001</v>
      </c>
      <c r="P98" s="6">
        <v>0</v>
      </c>
      <c r="Q98" s="4" t="s">
        <v>26</v>
      </c>
      <c r="R98" s="4">
        <v>0</v>
      </c>
      <c r="S98" s="6">
        <v>0</v>
      </c>
      <c r="T98" s="6">
        <v>35</v>
      </c>
      <c r="U98" s="6">
        <v>79</v>
      </c>
      <c r="V98" s="52">
        <f>IF(ISERROR(VLOOKUP($S$98,'TAR FIN'!$A$1:$O$85,15,0)),0,VLOOKUP($S$98,'TAR FIN'!$A$1:$O$85,15,0))</f>
        <v>0</v>
      </c>
      <c r="W98" s="52">
        <f>IF(ISERROR(VLOOKUP($T$98,'TAR FIN'!$A$1:$O$85,15,0)),0,VLOOKUP($T$98,'TAR FIN'!$A$1:$O$85,15,0))*(1-0.06)</f>
        <v>2246.1299999999997</v>
      </c>
      <c r="X98" s="52">
        <f>IF(ISERROR(VLOOKUP($U$98,'TAR FIN'!$A$1:$O$85,15,0)),0,VLOOKUP($U$98,'TAR FIN'!$A$1:$O$85,15,0))*(1-0.06)</f>
        <v>208.30399999999997</v>
      </c>
      <c r="Y98" s="52"/>
      <c r="Z98" s="52">
        <f ca="1">('TUSD BE'!$AM$11+'TUSD BF'!$AM$11+'TUSD CVA'!$AM$11)*1*(1-0.03)</f>
        <v>2460.184007851436</v>
      </c>
      <c r="AA98" s="52">
        <f>('TE BE'!$AB$5+'TE BF'!$AB$5+'TE CVA'!$AB$5)*1*(1-0.03)</f>
        <v>261.13311241088314</v>
      </c>
      <c r="AB98" s="6">
        <f>$K$98*$V$98</f>
        <v>0</v>
      </c>
      <c r="AC98" s="6">
        <f>$M$98*$W$98</f>
        <v>47418.050429999996</v>
      </c>
      <c r="AD98" s="6">
        <f>$O$98*$X$98</f>
        <v>4397.5057439999991</v>
      </c>
      <c r="AE98" s="6">
        <f>$K$98*$Y$98</f>
        <v>0</v>
      </c>
      <c r="AF98" s="6">
        <f ca="1">$M$98*$Z$98</f>
        <v>51936.944589751671</v>
      </c>
      <c r="AG98" s="6">
        <f>$O$98*$AA$98</f>
        <v>5512.781136106154</v>
      </c>
    </row>
    <row r="99" spans="1:33" ht="11.25" customHeight="1" x14ac:dyDescent="0.3">
      <c r="A99" s="4" t="s">
        <v>21</v>
      </c>
      <c r="B99" s="4" t="s">
        <v>38</v>
      </c>
      <c r="C99" s="4" t="s">
        <v>39</v>
      </c>
      <c r="D99" s="4" t="s">
        <v>47</v>
      </c>
      <c r="E99" s="4" t="s">
        <v>48</v>
      </c>
      <c r="F99" s="4" t="s">
        <v>25</v>
      </c>
      <c r="G99" s="4" t="s">
        <v>25</v>
      </c>
      <c r="H99" s="4" t="s">
        <v>40</v>
      </c>
      <c r="I99" s="5">
        <v>44470</v>
      </c>
      <c r="J99" s="6">
        <v>0</v>
      </c>
      <c r="K99" s="52">
        <v>0</v>
      </c>
      <c r="L99" s="6">
        <v>19.920999999999999</v>
      </c>
      <c r="M99" s="52">
        <v>19.920999999999999</v>
      </c>
      <c r="N99" s="6">
        <v>19.920999999999999</v>
      </c>
      <c r="O99" s="52">
        <v>19.920999999999999</v>
      </c>
      <c r="P99" s="6">
        <v>0</v>
      </c>
      <c r="Q99" s="4" t="s">
        <v>26</v>
      </c>
      <c r="R99" s="4">
        <v>0</v>
      </c>
      <c r="S99" s="6">
        <v>0</v>
      </c>
      <c r="T99" s="6">
        <v>35</v>
      </c>
      <c r="U99" s="6">
        <v>79</v>
      </c>
      <c r="V99" s="52">
        <f>IF(ISERROR(VLOOKUP($S$99,'TAR FIN'!$A$1:$O$85,15,0)),0,VLOOKUP($S$99,'TAR FIN'!$A$1:$O$85,15,0))</f>
        <v>0</v>
      </c>
      <c r="W99" s="52">
        <f>IF(ISERROR(VLOOKUP($T$99,'TAR FIN'!$A$1:$O$85,15,0)),0,VLOOKUP($T$99,'TAR FIN'!$A$1:$O$85,15,0))*(1-0.06)</f>
        <v>2246.1299999999997</v>
      </c>
      <c r="X99" s="52">
        <f>IF(ISERROR(VLOOKUP($U$99,'TAR FIN'!$A$1:$O$85,15,0)),0,VLOOKUP($U$99,'TAR FIN'!$A$1:$O$85,15,0))*(1-0.06)</f>
        <v>208.30399999999997</v>
      </c>
      <c r="Y99" s="52"/>
      <c r="Z99" s="52">
        <f ca="1">('TUSD BE'!$AM$11+'TUSD BF'!$AM$11+'TUSD CVA'!$AM$11)*1*(1-0.03)</f>
        <v>2460.184007851436</v>
      </c>
      <c r="AA99" s="52">
        <f>('TE BE'!$AB$5+'TE BF'!$AB$5+'TE CVA'!$AB$5)*1*(1-0.03)</f>
        <v>261.13311241088314</v>
      </c>
      <c r="AB99" s="6">
        <f>$K$99*$V$99</f>
        <v>0</v>
      </c>
      <c r="AC99" s="6">
        <f>$M$99*$W$99</f>
        <v>44745.155729999991</v>
      </c>
      <c r="AD99" s="6">
        <f>$O$99*$X$99</f>
        <v>4149.6239839999989</v>
      </c>
      <c r="AE99" s="6">
        <f>$K$99*$Y$99</f>
        <v>0</v>
      </c>
      <c r="AF99" s="6">
        <f ca="1">$M$99*$Z$99</f>
        <v>49009.325620408454</v>
      </c>
      <c r="AG99" s="6">
        <f>$O$99*$AA$99</f>
        <v>5202.032732337203</v>
      </c>
    </row>
    <row r="100" spans="1:33" ht="11.25" customHeight="1" x14ac:dyDescent="0.3">
      <c r="A100" s="4" t="s">
        <v>21</v>
      </c>
      <c r="B100" s="4" t="s">
        <v>38</v>
      </c>
      <c r="C100" s="4" t="s">
        <v>39</v>
      </c>
      <c r="D100" s="4" t="s">
        <v>47</v>
      </c>
      <c r="E100" s="4" t="s">
        <v>48</v>
      </c>
      <c r="F100" s="4" t="s">
        <v>25</v>
      </c>
      <c r="G100" s="4" t="s">
        <v>25</v>
      </c>
      <c r="H100" s="4" t="s">
        <v>40</v>
      </c>
      <c r="I100" s="5">
        <v>44501</v>
      </c>
      <c r="J100" s="6">
        <v>0</v>
      </c>
      <c r="K100" s="52">
        <v>0</v>
      </c>
      <c r="L100" s="6">
        <v>19.634</v>
      </c>
      <c r="M100" s="52">
        <v>19.634</v>
      </c>
      <c r="N100" s="6">
        <v>19.634</v>
      </c>
      <c r="O100" s="52">
        <v>19.634</v>
      </c>
      <c r="P100" s="6">
        <v>0</v>
      </c>
      <c r="Q100" s="4" t="s">
        <v>26</v>
      </c>
      <c r="R100" s="4">
        <v>0</v>
      </c>
      <c r="S100" s="6">
        <v>0</v>
      </c>
      <c r="T100" s="6">
        <v>35</v>
      </c>
      <c r="U100" s="6">
        <v>79</v>
      </c>
      <c r="V100" s="52">
        <f>IF(ISERROR(VLOOKUP($S$100,'TAR FIN'!$A$1:$O$85,15,0)),0,VLOOKUP($S$100,'TAR FIN'!$A$1:$O$85,15,0))</f>
        <v>0</v>
      </c>
      <c r="W100" s="52">
        <f>IF(ISERROR(VLOOKUP($T$100,'TAR FIN'!$A$1:$O$85,15,0)),0,VLOOKUP($T$100,'TAR FIN'!$A$1:$O$85,15,0))*(1-0.06)</f>
        <v>2246.1299999999997</v>
      </c>
      <c r="X100" s="52">
        <f>IF(ISERROR(VLOOKUP($U$100,'TAR FIN'!$A$1:$O$85,15,0)),0,VLOOKUP($U$100,'TAR FIN'!$A$1:$O$85,15,0))*(1-0.06)</f>
        <v>208.30399999999997</v>
      </c>
      <c r="Y100" s="52"/>
      <c r="Z100" s="52">
        <f ca="1">('TUSD BE'!$AM$11+'TUSD BF'!$AM$11+'TUSD CVA'!$AM$11)*1*(1-0.03)</f>
        <v>2460.184007851436</v>
      </c>
      <c r="AA100" s="52">
        <f>('TE BE'!$AB$5+'TE BF'!$AB$5+'TE CVA'!$AB$5)*1*(1-0.03)</f>
        <v>261.13311241088314</v>
      </c>
      <c r="AB100" s="6">
        <f>$K$100*$V$100</f>
        <v>0</v>
      </c>
      <c r="AC100" s="6">
        <f>$M$100*$W$100</f>
        <v>44100.516419999993</v>
      </c>
      <c r="AD100" s="6">
        <f>$O$100*$X$100</f>
        <v>4089.8407359999997</v>
      </c>
      <c r="AE100" s="6">
        <f>$K$100*$Y$100</f>
        <v>0</v>
      </c>
      <c r="AF100" s="6">
        <f ca="1">$M$100*$Z$100</f>
        <v>48303.252810155092</v>
      </c>
      <c r="AG100" s="6">
        <f>$O$100*$AA$100</f>
        <v>5127.0875290752801</v>
      </c>
    </row>
    <row r="101" spans="1:33" ht="11.25" customHeight="1" x14ac:dyDescent="0.3">
      <c r="A101" s="4" t="s">
        <v>21</v>
      </c>
      <c r="B101" s="4" t="s">
        <v>38</v>
      </c>
      <c r="C101" s="4" t="s">
        <v>39</v>
      </c>
      <c r="D101" s="4" t="s">
        <v>47</v>
      </c>
      <c r="E101" s="4" t="s">
        <v>48</v>
      </c>
      <c r="F101" s="4" t="s">
        <v>25</v>
      </c>
      <c r="G101" s="4" t="s">
        <v>25</v>
      </c>
      <c r="H101" s="4" t="s">
        <v>40</v>
      </c>
      <c r="I101" s="5">
        <v>44531</v>
      </c>
      <c r="J101" s="6">
        <v>0</v>
      </c>
      <c r="K101" s="52">
        <v>0</v>
      </c>
      <c r="L101" s="6">
        <v>22.725999999999999</v>
      </c>
      <c r="M101" s="52">
        <v>22.725999999999999</v>
      </c>
      <c r="N101" s="6">
        <v>22.725999999999999</v>
      </c>
      <c r="O101" s="52">
        <v>22.725999999999999</v>
      </c>
      <c r="P101" s="6">
        <v>0</v>
      </c>
      <c r="Q101" s="4" t="s">
        <v>26</v>
      </c>
      <c r="R101" s="4">
        <v>0</v>
      </c>
      <c r="S101" s="6">
        <v>0</v>
      </c>
      <c r="T101" s="6">
        <v>35</v>
      </c>
      <c r="U101" s="6">
        <v>79</v>
      </c>
      <c r="V101" s="52">
        <f>IF(ISERROR(VLOOKUP($S$101,'TAR FIN'!$A$1:$O$85,15,0)),0,VLOOKUP($S$101,'TAR FIN'!$A$1:$O$85,15,0))</f>
        <v>0</v>
      </c>
      <c r="W101" s="52">
        <f>IF(ISERROR(VLOOKUP($T$101,'TAR FIN'!$A$1:$O$85,15,0)),0,VLOOKUP($T$101,'TAR FIN'!$A$1:$O$85,15,0))*(1-0.06)</f>
        <v>2246.1299999999997</v>
      </c>
      <c r="X101" s="52">
        <f>IF(ISERROR(VLOOKUP($U$101,'TAR FIN'!$A$1:$O$85,15,0)),0,VLOOKUP($U$101,'TAR FIN'!$A$1:$O$85,15,0))*(1-0.06)</f>
        <v>208.30399999999997</v>
      </c>
      <c r="Y101" s="52"/>
      <c r="Z101" s="52">
        <f ca="1">('TUSD BE'!$AM$11+'TUSD BF'!$AM$11+'TUSD CVA'!$AM$11)*1*(1-0.03)</f>
        <v>2460.184007851436</v>
      </c>
      <c r="AA101" s="52">
        <f>('TE BE'!$AB$5+'TE BF'!$AB$5+'TE CVA'!$AB$5)*1*(1-0.03)</f>
        <v>261.13311241088314</v>
      </c>
      <c r="AB101" s="6">
        <f>$K$101*$V$101</f>
        <v>0</v>
      </c>
      <c r="AC101" s="6">
        <f>$M$101*$W$101</f>
        <v>51045.550379999993</v>
      </c>
      <c r="AD101" s="6">
        <f>$O$101*$X$101</f>
        <v>4733.9167039999993</v>
      </c>
      <c r="AE101" s="6">
        <f>$K$101*$Y$101</f>
        <v>0</v>
      </c>
      <c r="AF101" s="6">
        <f ca="1">$M$101*$Z$101</f>
        <v>55910.141762431733</v>
      </c>
      <c r="AG101" s="6">
        <f>$O$101*$AA$101</f>
        <v>5934.5111126497304</v>
      </c>
    </row>
    <row r="102" spans="1:33" ht="11.25" customHeight="1" x14ac:dyDescent="0.3">
      <c r="A102" s="4" t="s">
        <v>21</v>
      </c>
      <c r="B102" s="4" t="s">
        <v>38</v>
      </c>
      <c r="C102" s="4" t="s">
        <v>39</v>
      </c>
      <c r="D102" s="4" t="s">
        <v>47</v>
      </c>
      <c r="E102" s="4" t="s">
        <v>48</v>
      </c>
      <c r="F102" s="4" t="s">
        <v>25</v>
      </c>
      <c r="G102" s="4" t="s">
        <v>25</v>
      </c>
      <c r="H102" s="4" t="s">
        <v>40</v>
      </c>
      <c r="I102" s="5">
        <v>44562</v>
      </c>
      <c r="J102" s="6">
        <v>0</v>
      </c>
      <c r="K102" s="52">
        <v>0</v>
      </c>
      <c r="L102" s="6">
        <v>19.664000000000001</v>
      </c>
      <c r="M102" s="52">
        <v>19.664000000000001</v>
      </c>
      <c r="N102" s="6">
        <v>19.664000000000001</v>
      </c>
      <c r="O102" s="52">
        <v>19.664000000000001</v>
      </c>
      <c r="P102" s="6">
        <v>0</v>
      </c>
      <c r="Q102" s="4" t="s">
        <v>26</v>
      </c>
      <c r="R102" s="4">
        <v>0</v>
      </c>
      <c r="S102" s="6">
        <v>0</v>
      </c>
      <c r="T102" s="6">
        <v>35</v>
      </c>
      <c r="U102" s="6">
        <v>79</v>
      </c>
      <c r="V102" s="52">
        <f>IF(ISERROR(VLOOKUP($S$102,'TAR FIN'!$A$1:$O$85,15,0)),0,VLOOKUP($S$102,'TAR FIN'!$A$1:$O$85,15,0))</f>
        <v>0</v>
      </c>
      <c r="W102" s="52">
        <f>IF(ISERROR(VLOOKUP($T$102,'TAR FIN'!$A$1:$O$85,15,0)),0,VLOOKUP($T$102,'TAR FIN'!$A$1:$O$85,15,0))*(1-0.06)</f>
        <v>2246.1299999999997</v>
      </c>
      <c r="X102" s="52">
        <f>IF(ISERROR(VLOOKUP($U$102,'TAR FIN'!$A$1:$O$85,15,0)),0,VLOOKUP($U$102,'TAR FIN'!$A$1:$O$85,15,0))*(1-0.06)</f>
        <v>208.30399999999997</v>
      </c>
      <c r="Y102" s="52"/>
      <c r="Z102" s="52">
        <f ca="1">('TUSD BE'!$AM$11+'TUSD BF'!$AM$11+'TUSD CVA'!$AM$11)*1*(1-0.03)</f>
        <v>2460.184007851436</v>
      </c>
      <c r="AA102" s="52">
        <f>('TE BE'!$AB$5+'TE BF'!$AB$5+'TE CVA'!$AB$5)*1*(1-0.03)</f>
        <v>261.13311241088314</v>
      </c>
      <c r="AB102" s="6">
        <f>$K$102*$V$102</f>
        <v>0</v>
      </c>
      <c r="AC102" s="6">
        <f>$M$102*$W$102</f>
        <v>44167.900319999993</v>
      </c>
      <c r="AD102" s="6">
        <f>$O$102*$X$102</f>
        <v>4096.0898559999996</v>
      </c>
      <c r="AE102" s="6">
        <f>$K$102*$Y$102</f>
        <v>0</v>
      </c>
      <c r="AF102" s="6">
        <f ca="1">$M$102*$Z$102</f>
        <v>48377.058330390639</v>
      </c>
      <c r="AG102" s="6">
        <f>$O$102*$AA$102</f>
        <v>5134.9215224476065</v>
      </c>
    </row>
    <row r="103" spans="1:33" ht="11.25" customHeight="1" x14ac:dyDescent="0.3">
      <c r="A103" s="4" t="s">
        <v>21</v>
      </c>
      <c r="B103" s="4" t="s">
        <v>38</v>
      </c>
      <c r="C103" s="4" t="s">
        <v>39</v>
      </c>
      <c r="D103" s="4" t="s">
        <v>47</v>
      </c>
      <c r="E103" s="4" t="s">
        <v>48</v>
      </c>
      <c r="F103" s="4" t="s">
        <v>25</v>
      </c>
      <c r="G103" s="4" t="s">
        <v>25</v>
      </c>
      <c r="H103" s="4" t="s">
        <v>40</v>
      </c>
      <c r="I103" s="5">
        <v>44593</v>
      </c>
      <c r="J103" s="6">
        <v>0</v>
      </c>
      <c r="K103" s="52">
        <v>0</v>
      </c>
      <c r="L103" s="6">
        <v>18.574000000000002</v>
      </c>
      <c r="M103" s="52">
        <v>18.574000000000002</v>
      </c>
      <c r="N103" s="6">
        <v>18.574000000000002</v>
      </c>
      <c r="O103" s="52">
        <v>18.574000000000002</v>
      </c>
      <c r="P103" s="6">
        <v>0</v>
      </c>
      <c r="Q103" s="4" t="s">
        <v>26</v>
      </c>
      <c r="R103" s="4">
        <v>0</v>
      </c>
      <c r="S103" s="6">
        <v>0</v>
      </c>
      <c r="T103" s="6">
        <v>35</v>
      </c>
      <c r="U103" s="6">
        <v>79</v>
      </c>
      <c r="V103" s="52">
        <f>IF(ISERROR(VLOOKUP($S$103,'TAR FIN'!$A$1:$O$85,15,0)),0,VLOOKUP($S$103,'TAR FIN'!$A$1:$O$85,15,0))</f>
        <v>0</v>
      </c>
      <c r="W103" s="52">
        <f>IF(ISERROR(VLOOKUP($T$103,'TAR FIN'!$A$1:$O$85,15,0)),0,VLOOKUP($T$103,'TAR FIN'!$A$1:$O$85,15,0))*(1-0.06)</f>
        <v>2246.1299999999997</v>
      </c>
      <c r="X103" s="52">
        <f>IF(ISERROR(VLOOKUP($U$103,'TAR FIN'!$A$1:$O$85,15,0)),0,VLOOKUP($U$103,'TAR FIN'!$A$1:$O$85,15,0))*(1-0.06)</f>
        <v>208.30399999999997</v>
      </c>
      <c r="Y103" s="52"/>
      <c r="Z103" s="52">
        <f ca="1">('TUSD BE'!$AM$11+'TUSD BF'!$AM$11+'TUSD CVA'!$AM$11)*1*(1-0.03)</f>
        <v>2460.184007851436</v>
      </c>
      <c r="AA103" s="52">
        <f>('TE BE'!$AB$5+'TE BF'!$AB$5+'TE CVA'!$AB$5)*1*(1-0.03)</f>
        <v>261.13311241088314</v>
      </c>
      <c r="AB103" s="6">
        <f>$K$103*$V$103</f>
        <v>0</v>
      </c>
      <c r="AC103" s="6">
        <f>$M$103*$W$103</f>
        <v>41719.618619999994</v>
      </c>
      <c r="AD103" s="6">
        <f>$O$103*$X$103</f>
        <v>3869.0384959999997</v>
      </c>
      <c r="AE103" s="6">
        <f>$K$103*$Y$103</f>
        <v>0</v>
      </c>
      <c r="AF103" s="6">
        <f ca="1">$M$103*$Z$103</f>
        <v>45695.457761832578</v>
      </c>
      <c r="AG103" s="6">
        <f>$O$103*$AA$103</f>
        <v>4850.2864299197436</v>
      </c>
    </row>
    <row r="104" spans="1:33" ht="11.25" customHeight="1" x14ac:dyDescent="0.3">
      <c r="A104" s="4" t="s">
        <v>21</v>
      </c>
      <c r="B104" s="4" t="s">
        <v>38</v>
      </c>
      <c r="C104" s="4" t="s">
        <v>39</v>
      </c>
      <c r="D104" s="4" t="s">
        <v>47</v>
      </c>
      <c r="E104" s="4" t="s">
        <v>48</v>
      </c>
      <c r="F104" s="4" t="s">
        <v>25</v>
      </c>
      <c r="G104" s="4" t="s">
        <v>25</v>
      </c>
      <c r="H104" s="4" t="s">
        <v>40</v>
      </c>
      <c r="I104" s="5">
        <v>44621</v>
      </c>
      <c r="J104" s="6">
        <v>0</v>
      </c>
      <c r="K104" s="52">
        <v>0</v>
      </c>
      <c r="L104" s="6">
        <v>20.591999999999999</v>
      </c>
      <c r="M104" s="52">
        <v>20.591999999999999</v>
      </c>
      <c r="N104" s="6">
        <v>20.591999999999999</v>
      </c>
      <c r="O104" s="52">
        <v>20.591999999999999</v>
      </c>
      <c r="P104" s="6">
        <v>0</v>
      </c>
      <c r="Q104" s="4" t="s">
        <v>26</v>
      </c>
      <c r="R104" s="4">
        <v>0</v>
      </c>
      <c r="S104" s="6">
        <v>0</v>
      </c>
      <c r="T104" s="6">
        <v>35</v>
      </c>
      <c r="U104" s="6">
        <v>79</v>
      </c>
      <c r="V104" s="52">
        <f>IF(ISERROR(VLOOKUP($S$104,'TAR FIN'!$A$1:$O$85,15,0)),0,VLOOKUP($S$104,'TAR FIN'!$A$1:$O$85,15,0))</f>
        <v>0</v>
      </c>
      <c r="W104" s="52">
        <f>IF(ISERROR(VLOOKUP($T$104,'TAR FIN'!$A$1:$O$85,15,0)),0,VLOOKUP($T$104,'TAR FIN'!$A$1:$O$85,15,0))*(1-0.06)</f>
        <v>2246.1299999999997</v>
      </c>
      <c r="X104" s="52">
        <f>IF(ISERROR(VLOOKUP($U$104,'TAR FIN'!$A$1:$O$85,15,0)),0,VLOOKUP($U$104,'TAR FIN'!$A$1:$O$85,15,0))*(1-0.06)</f>
        <v>208.30399999999997</v>
      </c>
      <c r="Y104" s="52"/>
      <c r="Z104" s="52">
        <f ca="1">('TUSD BE'!$AM$11+'TUSD BF'!$AM$11+'TUSD CVA'!$AM$11)*1*(1-0.03)</f>
        <v>2460.184007851436</v>
      </c>
      <c r="AA104" s="52">
        <f>('TE BE'!$AB$5+'TE BF'!$AB$5+'TE CVA'!$AB$5)*1*(1-0.03)</f>
        <v>261.13311241088314</v>
      </c>
      <c r="AB104" s="6">
        <f>$K$104*$V$104</f>
        <v>0</v>
      </c>
      <c r="AC104" s="6">
        <f>$M$104*$W$104</f>
        <v>46252.308959999988</v>
      </c>
      <c r="AD104" s="6">
        <f>$O$104*$X$104</f>
        <v>4289.3959679999989</v>
      </c>
      <c r="AE104" s="6">
        <f>$K$104*$Y$104</f>
        <v>0</v>
      </c>
      <c r="AF104" s="6">
        <f ca="1">$M$104*$Z$104</f>
        <v>50660.109089676771</v>
      </c>
      <c r="AG104" s="6">
        <f>$O$104*$AA$104</f>
        <v>5377.2530507649053</v>
      </c>
    </row>
    <row r="105" spans="1:33" ht="11.25" customHeight="1" x14ac:dyDescent="0.3">
      <c r="A105" s="4" t="s">
        <v>21</v>
      </c>
      <c r="B105" s="4" t="s">
        <v>38</v>
      </c>
      <c r="C105" s="4" t="s">
        <v>39</v>
      </c>
      <c r="D105" s="4" t="s">
        <v>47</v>
      </c>
      <c r="E105" s="4" t="s">
        <v>48</v>
      </c>
      <c r="F105" s="4" t="s">
        <v>25</v>
      </c>
      <c r="G105" s="4" t="s">
        <v>25</v>
      </c>
      <c r="H105" s="4" t="s">
        <v>40</v>
      </c>
      <c r="I105" s="5">
        <v>44652</v>
      </c>
      <c r="J105" s="6">
        <v>0</v>
      </c>
      <c r="K105" s="52">
        <v>0</v>
      </c>
      <c r="L105" s="6">
        <v>18.384</v>
      </c>
      <c r="M105" s="52">
        <v>18.384</v>
      </c>
      <c r="N105" s="6">
        <v>18.384</v>
      </c>
      <c r="O105" s="52">
        <v>18.384</v>
      </c>
      <c r="P105" s="6">
        <v>0</v>
      </c>
      <c r="Q105" s="4" t="s">
        <v>26</v>
      </c>
      <c r="R105" s="4">
        <v>0</v>
      </c>
      <c r="S105" s="6">
        <v>0</v>
      </c>
      <c r="T105" s="6">
        <v>35</v>
      </c>
      <c r="U105" s="6">
        <v>79</v>
      </c>
      <c r="V105" s="52">
        <f>IF(ISERROR(VLOOKUP($S$105,'TAR FIN'!$A$1:$O$85,15,0)),0,VLOOKUP($S$105,'TAR FIN'!$A$1:$O$85,15,0))</f>
        <v>0</v>
      </c>
      <c r="W105" s="52">
        <f>IF(ISERROR(VLOOKUP($T$105,'TAR FIN'!$A$1:$O$85,15,0)),0,VLOOKUP($T$105,'TAR FIN'!$A$1:$O$85,15,0))*(1-0.06)</f>
        <v>2246.1299999999997</v>
      </c>
      <c r="X105" s="52">
        <f>IF(ISERROR(VLOOKUP($U$105,'TAR FIN'!$A$1:$O$85,15,0)),0,VLOOKUP($U$105,'TAR FIN'!$A$1:$O$85,15,0))*(1-0.06)</f>
        <v>208.30399999999997</v>
      </c>
      <c r="Y105" s="52"/>
      <c r="Z105" s="52">
        <f ca="1">('TUSD BE'!$AM$11+'TUSD BF'!$AM$11+'TUSD CVA'!$AM$11)*1*(1-0.03)</f>
        <v>2460.184007851436</v>
      </c>
      <c r="AA105" s="52">
        <f>('TE BE'!$AB$5+'TE BF'!$AB$5+'TE CVA'!$AB$5)*1*(1-0.03)</f>
        <v>261.13311241088314</v>
      </c>
      <c r="AB105" s="6">
        <f>$K$105*$V$105</f>
        <v>0</v>
      </c>
      <c r="AC105" s="6">
        <f>$M$105*$W$105</f>
        <v>41292.853919999994</v>
      </c>
      <c r="AD105" s="6">
        <f>$O$105*$X$105</f>
        <v>3829.4607359999995</v>
      </c>
      <c r="AE105" s="6">
        <f>$K$105*$Y$105</f>
        <v>0</v>
      </c>
      <c r="AF105" s="6">
        <f ca="1">$M$105*$Z$105</f>
        <v>45228.022800340797</v>
      </c>
      <c r="AG105" s="6">
        <f>$O$105*$AA$105</f>
        <v>4800.6711385616754</v>
      </c>
    </row>
    <row r="106" spans="1:33" ht="11.25" customHeight="1" x14ac:dyDescent="0.3">
      <c r="A106" s="4" t="s">
        <v>21</v>
      </c>
      <c r="B106" s="4" t="s">
        <v>38</v>
      </c>
      <c r="C106" s="4" t="s">
        <v>39</v>
      </c>
      <c r="D106" s="4" t="s">
        <v>47</v>
      </c>
      <c r="E106" s="4" t="s">
        <v>48</v>
      </c>
      <c r="F106" s="4" t="s">
        <v>25</v>
      </c>
      <c r="G106" s="4" t="s">
        <v>25</v>
      </c>
      <c r="H106" s="4" t="s">
        <v>40</v>
      </c>
      <c r="I106" s="5">
        <v>44682</v>
      </c>
      <c r="J106" s="6">
        <v>0</v>
      </c>
      <c r="K106" s="52">
        <v>0</v>
      </c>
      <c r="L106" s="6">
        <v>20.672000000000001</v>
      </c>
      <c r="M106" s="52">
        <v>20.672000000000001</v>
      </c>
      <c r="N106" s="6">
        <v>20.672000000000001</v>
      </c>
      <c r="O106" s="52">
        <v>20.672000000000001</v>
      </c>
      <c r="P106" s="6">
        <v>0</v>
      </c>
      <c r="Q106" s="4" t="s">
        <v>26</v>
      </c>
      <c r="R106" s="4">
        <v>0</v>
      </c>
      <c r="S106" s="6">
        <v>0</v>
      </c>
      <c r="T106" s="6">
        <v>35</v>
      </c>
      <c r="U106" s="6">
        <v>79</v>
      </c>
      <c r="V106" s="52">
        <f>IF(ISERROR(VLOOKUP($S$106,'TAR FIN'!$A$1:$O$85,15,0)),0,VLOOKUP($S$106,'TAR FIN'!$A$1:$O$85,15,0))</f>
        <v>0</v>
      </c>
      <c r="W106" s="52">
        <f>IF(ISERROR(VLOOKUP($T$106,'TAR FIN'!$A$1:$O$85,15,0)),0,VLOOKUP($T$106,'TAR FIN'!$A$1:$O$85,15,0))*(1-0.06)</f>
        <v>2246.1299999999997</v>
      </c>
      <c r="X106" s="52">
        <f>IF(ISERROR(VLOOKUP($U$106,'TAR FIN'!$A$1:$O$85,15,0)),0,VLOOKUP($U$106,'TAR FIN'!$A$1:$O$85,15,0))*(1-0.06)</f>
        <v>208.30399999999997</v>
      </c>
      <c r="Y106" s="52"/>
      <c r="Z106" s="52">
        <f ca="1">('TUSD BE'!$AM$11+'TUSD BF'!$AM$11+'TUSD CVA'!$AM$11)*1*(1-0.03)</f>
        <v>2460.184007851436</v>
      </c>
      <c r="AA106" s="52">
        <f>('TE BE'!$AB$5+'TE BF'!$AB$5+'TE CVA'!$AB$5)*1*(1-0.03)</f>
        <v>261.13311241088314</v>
      </c>
      <c r="AB106" s="6">
        <f>$K$106*$V$106</f>
        <v>0</v>
      </c>
      <c r="AC106" s="6">
        <f>$M$106*$W$106</f>
        <v>46431.999359999994</v>
      </c>
      <c r="AD106" s="6">
        <f>$O$106*$X$106</f>
        <v>4306.0602879999997</v>
      </c>
      <c r="AE106" s="6">
        <f>$K$106*$Y$106</f>
        <v>0</v>
      </c>
      <c r="AF106" s="6">
        <f ca="1">$M$106*$Z$106</f>
        <v>50856.923810304885</v>
      </c>
      <c r="AG106" s="6">
        <f>$O$106*$AA$106</f>
        <v>5398.1436997577766</v>
      </c>
    </row>
    <row r="107" spans="1:33" ht="11.25" customHeight="1" x14ac:dyDescent="0.3">
      <c r="A107" s="4" t="s">
        <v>21</v>
      </c>
      <c r="B107" s="4" t="s">
        <v>38</v>
      </c>
      <c r="C107" s="4" t="s">
        <v>39</v>
      </c>
      <c r="D107" s="4" t="s">
        <v>47</v>
      </c>
      <c r="E107" s="4" t="s">
        <v>48</v>
      </c>
      <c r="F107" s="4" t="s">
        <v>25</v>
      </c>
      <c r="G107" s="4" t="s">
        <v>25</v>
      </c>
      <c r="H107" s="4" t="s">
        <v>40</v>
      </c>
      <c r="I107" s="5">
        <v>44713</v>
      </c>
      <c r="J107" s="6">
        <v>0</v>
      </c>
      <c r="K107" s="52">
        <v>0</v>
      </c>
      <c r="L107" s="6">
        <v>20.959</v>
      </c>
      <c r="M107" s="52">
        <v>20.959</v>
      </c>
      <c r="N107" s="6">
        <v>20.959</v>
      </c>
      <c r="O107" s="52">
        <v>20.959</v>
      </c>
      <c r="P107" s="6">
        <v>0</v>
      </c>
      <c r="Q107" s="4" t="s">
        <v>26</v>
      </c>
      <c r="R107" s="4">
        <v>0</v>
      </c>
      <c r="S107" s="6">
        <v>0</v>
      </c>
      <c r="T107" s="6">
        <v>35</v>
      </c>
      <c r="U107" s="6">
        <v>79</v>
      </c>
      <c r="V107" s="52">
        <f>IF(ISERROR(VLOOKUP($S$107,'TAR FIN'!$A$1:$O$85,15,0)),0,VLOOKUP($S$107,'TAR FIN'!$A$1:$O$85,15,0))</f>
        <v>0</v>
      </c>
      <c r="W107" s="52">
        <f>IF(ISERROR(VLOOKUP($T$107,'TAR FIN'!$A$1:$O$85,15,0)),0,VLOOKUP($T$107,'TAR FIN'!$A$1:$O$85,15,0))*(1-0.06)</f>
        <v>2246.1299999999997</v>
      </c>
      <c r="X107" s="52">
        <f>IF(ISERROR(VLOOKUP($U$107,'TAR FIN'!$A$1:$O$85,15,0)),0,VLOOKUP($U$107,'TAR FIN'!$A$1:$O$85,15,0))*(1-0.06)</f>
        <v>208.30399999999997</v>
      </c>
      <c r="Y107" s="52"/>
      <c r="Z107" s="52">
        <f ca="1">('TUSD BE'!$AM$11+'TUSD BF'!$AM$11+'TUSD CVA'!$AM$11)*1*(1-0.03)</f>
        <v>2460.184007851436</v>
      </c>
      <c r="AA107" s="52">
        <f>('TE BE'!$AB$5+'TE BF'!$AB$5+'TE CVA'!$AB$5)*1*(1-0.03)</f>
        <v>261.13311241088314</v>
      </c>
      <c r="AB107" s="6">
        <f>$K$107*$V$107</f>
        <v>0</v>
      </c>
      <c r="AC107" s="6">
        <f>$M$107*$W$107</f>
        <v>47076.638669999993</v>
      </c>
      <c r="AD107" s="6">
        <f>$O$107*$X$107</f>
        <v>4365.8435359999994</v>
      </c>
      <c r="AE107" s="6">
        <f>$K$107*$Y$107</f>
        <v>0</v>
      </c>
      <c r="AF107" s="6">
        <f ca="1">$M$107*$Z$107</f>
        <v>51562.996620558246</v>
      </c>
      <c r="AG107" s="6">
        <f>$O$107*$AA$107</f>
        <v>5473.0889030196995</v>
      </c>
    </row>
    <row r="108" spans="1:33" ht="11.25" customHeight="1" x14ac:dyDescent="0.3">
      <c r="A108" s="4" t="s">
        <v>21</v>
      </c>
      <c r="B108" s="4" t="s">
        <v>38</v>
      </c>
      <c r="C108" s="4" t="s">
        <v>39</v>
      </c>
      <c r="D108" s="4" t="s">
        <v>47</v>
      </c>
      <c r="E108" s="4" t="s">
        <v>48</v>
      </c>
      <c r="F108" s="4" t="s">
        <v>25</v>
      </c>
      <c r="G108" s="4" t="s">
        <v>25</v>
      </c>
      <c r="H108" s="4" t="s">
        <v>40</v>
      </c>
      <c r="I108" s="5">
        <v>44743</v>
      </c>
      <c r="J108" s="6">
        <v>0</v>
      </c>
      <c r="K108" s="52">
        <v>0</v>
      </c>
      <c r="L108" s="6">
        <v>20.106999999999999</v>
      </c>
      <c r="M108" s="52">
        <v>20.106999999999999</v>
      </c>
      <c r="N108" s="6">
        <v>20.106999999999999</v>
      </c>
      <c r="O108" s="52">
        <v>20.106999999999999</v>
      </c>
      <c r="P108" s="6">
        <v>0</v>
      </c>
      <c r="Q108" s="4" t="s">
        <v>26</v>
      </c>
      <c r="R108" s="4">
        <v>0</v>
      </c>
      <c r="S108" s="6">
        <v>0</v>
      </c>
      <c r="T108" s="6">
        <v>35</v>
      </c>
      <c r="U108" s="6">
        <v>79</v>
      </c>
      <c r="V108" s="52">
        <f>IF(ISERROR(VLOOKUP($S$108,'TAR FIN'!$A$1:$O$85,15,0)),0,VLOOKUP($S$108,'TAR FIN'!$A$1:$O$85,15,0))</f>
        <v>0</v>
      </c>
      <c r="W108" s="52">
        <f>IF(ISERROR(VLOOKUP($T$108,'TAR FIN'!$A$1:$O$85,15,0)),0,VLOOKUP($T$108,'TAR FIN'!$A$1:$O$85,15,0))*(1-0.06)</f>
        <v>2246.1299999999997</v>
      </c>
      <c r="X108" s="52">
        <f>IF(ISERROR(VLOOKUP($U$108,'TAR FIN'!$A$1:$O$85,15,0)),0,VLOOKUP($U$108,'TAR FIN'!$A$1:$O$85,15,0))*(1-0.06)</f>
        <v>208.30399999999997</v>
      </c>
      <c r="Y108" s="52"/>
      <c r="Z108" s="52">
        <f ca="1">('TUSD BE'!$AM$11+'TUSD BF'!$AM$11+'TUSD CVA'!$AM$11)*1*(1-0.03)</f>
        <v>2460.184007851436</v>
      </c>
      <c r="AA108" s="52">
        <f>('TE BE'!$AB$5+'TE BF'!$AB$5+'TE CVA'!$AB$5)*1*(1-0.03)</f>
        <v>261.13311241088314</v>
      </c>
      <c r="AB108" s="6">
        <f>$K$108*$V$108</f>
        <v>0</v>
      </c>
      <c r="AC108" s="6">
        <f>$M$108*$W$108</f>
        <v>45162.935909999993</v>
      </c>
      <c r="AD108" s="6">
        <f>$O$108*$X$108</f>
        <v>4188.3685279999991</v>
      </c>
      <c r="AE108" s="6">
        <f>$K$108*$Y$108</f>
        <v>0</v>
      </c>
      <c r="AF108" s="6">
        <f ca="1">$M$108*$Z$108</f>
        <v>49466.919845868826</v>
      </c>
      <c r="AG108" s="6">
        <f>$O$108*$AA$108</f>
        <v>5250.6034912456271</v>
      </c>
    </row>
    <row r="109" spans="1:33" ht="11.25" customHeight="1" x14ac:dyDescent="0.3">
      <c r="A109" s="4" t="s">
        <v>21</v>
      </c>
      <c r="B109" s="4" t="s">
        <v>38</v>
      </c>
      <c r="C109" s="4" t="s">
        <v>39</v>
      </c>
      <c r="D109" s="4" t="s">
        <v>47</v>
      </c>
      <c r="E109" s="4" t="s">
        <v>48</v>
      </c>
      <c r="F109" s="4" t="s">
        <v>25</v>
      </c>
      <c r="G109" s="4" t="s">
        <v>25</v>
      </c>
      <c r="H109" s="4" t="s">
        <v>40</v>
      </c>
      <c r="I109" s="5">
        <v>44774</v>
      </c>
      <c r="J109" s="6">
        <v>0</v>
      </c>
      <c r="K109" s="52">
        <v>0</v>
      </c>
      <c r="L109" s="6">
        <v>21.699000000000002</v>
      </c>
      <c r="M109" s="52">
        <v>21.699000000000002</v>
      </c>
      <c r="N109" s="6">
        <v>21.699000000000002</v>
      </c>
      <c r="O109" s="52">
        <v>21.699000000000002</v>
      </c>
      <c r="P109" s="6">
        <v>0</v>
      </c>
      <c r="Q109" s="4" t="s">
        <v>26</v>
      </c>
      <c r="R109" s="4">
        <v>0</v>
      </c>
      <c r="S109" s="6">
        <v>0</v>
      </c>
      <c r="T109" s="6">
        <v>35</v>
      </c>
      <c r="U109" s="6">
        <v>79</v>
      </c>
      <c r="V109" s="52">
        <f>IF(ISERROR(VLOOKUP($S$109,'TAR FIN'!$A$1:$O$85,15,0)),0,VLOOKUP($S$109,'TAR FIN'!$A$1:$O$85,15,0))</f>
        <v>0</v>
      </c>
      <c r="W109" s="52">
        <f>IF(ISERROR(VLOOKUP($T$109,'TAR FIN'!$A$1:$O$85,15,0)),0,VLOOKUP($T$109,'TAR FIN'!$A$1:$O$85,15,0))*(1-0.06)</f>
        <v>2246.1299999999997</v>
      </c>
      <c r="X109" s="52">
        <f>IF(ISERROR(VLOOKUP($U$109,'TAR FIN'!$A$1:$O$85,15,0)),0,VLOOKUP($U$109,'TAR FIN'!$A$1:$O$85,15,0))*(1-0.06)</f>
        <v>208.30399999999997</v>
      </c>
      <c r="Y109" s="52"/>
      <c r="Z109" s="52">
        <f ca="1">('TUSD BE'!$AM$11+'TUSD BF'!$AM$11+'TUSD CVA'!$AM$11)*1*(1-0.03)</f>
        <v>2460.184007851436</v>
      </c>
      <c r="AA109" s="52">
        <f>('TE BE'!$AB$5+'TE BF'!$AB$5+'TE CVA'!$AB$5)*1*(1-0.03)</f>
        <v>261.13311241088314</v>
      </c>
      <c r="AB109" s="6">
        <f>$K$109*$V$109</f>
        <v>0</v>
      </c>
      <c r="AC109" s="6">
        <f>$M$109*$W$109</f>
        <v>48738.774869999994</v>
      </c>
      <c r="AD109" s="6">
        <f>$O$109*$X$109</f>
        <v>4519.9884959999999</v>
      </c>
      <c r="AE109" s="6">
        <f>$K$109*$Y$109</f>
        <v>0</v>
      </c>
      <c r="AF109" s="6">
        <f ca="1">$M$109*$Z$109</f>
        <v>53383.532786368312</v>
      </c>
      <c r="AG109" s="6">
        <f>$O$109*$AA$109</f>
        <v>5666.3274062037535</v>
      </c>
    </row>
    <row r="110" spans="1:33" ht="11.25" customHeight="1" x14ac:dyDescent="0.3">
      <c r="A110" s="4" t="s">
        <v>21</v>
      </c>
      <c r="B110" s="4" t="s">
        <v>22</v>
      </c>
      <c r="C110" s="4" t="s">
        <v>33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34</v>
      </c>
      <c r="I110" s="5">
        <v>44440</v>
      </c>
      <c r="J110" s="6">
        <v>0</v>
      </c>
      <c r="K110" s="6">
        <v>0</v>
      </c>
      <c r="L110" s="6">
        <v>3.6999999999999998E-2</v>
      </c>
      <c r="M110" s="6">
        <v>3.6999999999999998E-2</v>
      </c>
      <c r="N110" s="6">
        <v>3.6999999999999998E-2</v>
      </c>
      <c r="O110" s="6">
        <v>3.6999999999999998E-2</v>
      </c>
      <c r="P110" s="6">
        <v>0</v>
      </c>
      <c r="Q110" s="4" t="s">
        <v>26</v>
      </c>
      <c r="R110" s="4">
        <v>0</v>
      </c>
      <c r="S110" s="6">
        <v>0</v>
      </c>
      <c r="T110" s="6">
        <v>15</v>
      </c>
      <c r="U110" s="6">
        <v>63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319.24</v>
      </c>
      <c r="X110" s="6">
        <f>IF(ISERROR(VLOOKUP($U$110,'TAR FIN'!$A$1:$O$85,15,0)),0,VLOOKUP($U$110,'TAR FIN'!$A$1:$O$85,15,0))</f>
        <v>221.6</v>
      </c>
      <c r="Y110" s="6"/>
      <c r="Z110" s="6">
        <f ca="1">('TUSD BE'!$AM$19+'TUSD BF'!$AM$19+'TUSD CVA'!$AM$19)*1</f>
        <v>351.07306399889961</v>
      </c>
      <c r="AA110" s="6">
        <f>('TE BE'!$AB$10+'TE BF'!$AB$10+'TE CVA'!$AB$10)*1</f>
        <v>269.20939423802389</v>
      </c>
      <c r="AB110" s="6">
        <f>$K$110*$V$110</f>
        <v>0</v>
      </c>
      <c r="AC110" s="6">
        <f>$M$110*$W$110</f>
        <v>11.81188</v>
      </c>
      <c r="AD110" s="6">
        <f>$O$110*$X$110</f>
        <v>8.1991999999999994</v>
      </c>
      <c r="AE110" s="6">
        <f>$K$110*$Y$110</f>
        <v>0</v>
      </c>
      <c r="AF110" s="6">
        <f ca="1">$M$110*$Z$110</f>
        <v>12.989703367959285</v>
      </c>
      <c r="AG110" s="6">
        <f>$O$110*$AA$110</f>
        <v>9.9607475868068835</v>
      </c>
    </row>
    <row r="111" spans="1:33" ht="11.25" customHeight="1" x14ac:dyDescent="0.3">
      <c r="A111" s="4" t="s">
        <v>21</v>
      </c>
      <c r="B111" s="4" t="s">
        <v>22</v>
      </c>
      <c r="C111" s="4" t="s">
        <v>33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34</v>
      </c>
      <c r="I111" s="5">
        <v>44470</v>
      </c>
      <c r="J111" s="6">
        <v>0</v>
      </c>
      <c r="K111" s="6">
        <v>0</v>
      </c>
      <c r="L111" s="6">
        <v>3.5000000000000003E-2</v>
      </c>
      <c r="M111" s="6">
        <v>3.5000000000000003E-2</v>
      </c>
      <c r="N111" s="6">
        <v>3.5000000000000003E-2</v>
      </c>
      <c r="O111" s="6">
        <v>3.5000000000000003E-2</v>
      </c>
      <c r="P111" s="6">
        <v>0</v>
      </c>
      <c r="Q111" s="4" t="s">
        <v>26</v>
      </c>
      <c r="R111" s="4">
        <v>0</v>
      </c>
      <c r="S111" s="6">
        <v>0</v>
      </c>
      <c r="T111" s="6">
        <v>15</v>
      </c>
      <c r="U111" s="6">
        <v>63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319.24</v>
      </c>
      <c r="X111" s="6">
        <f>IF(ISERROR(VLOOKUP($U$111,'TAR FIN'!$A$1:$O$85,15,0)),0,VLOOKUP($U$111,'TAR FIN'!$A$1:$O$85,15,0))</f>
        <v>221.6</v>
      </c>
      <c r="Y111" s="6"/>
      <c r="Z111" s="6">
        <f ca="1">('TUSD BE'!$AM$19+'TUSD BF'!$AM$19+'TUSD CVA'!$AM$19)*1</f>
        <v>351.07306399889961</v>
      </c>
      <c r="AA111" s="6">
        <f>('TE BE'!$AB$10+'TE BF'!$AB$10+'TE CVA'!$AB$10)*1</f>
        <v>269.20939423802389</v>
      </c>
      <c r="AB111" s="6">
        <f>$K$111*$V$111</f>
        <v>0</v>
      </c>
      <c r="AC111" s="6">
        <f>$M$111*$W$111</f>
        <v>11.173400000000001</v>
      </c>
      <c r="AD111" s="6">
        <f>$O$111*$X$111</f>
        <v>7.7560000000000002</v>
      </c>
      <c r="AE111" s="6">
        <f>$K$111*$Y$111</f>
        <v>0</v>
      </c>
      <c r="AF111" s="6">
        <f ca="1">$M$111*$Z$111</f>
        <v>12.287557239961487</v>
      </c>
      <c r="AG111" s="6">
        <f>$O$111*$AA$111</f>
        <v>9.4223287983308364</v>
      </c>
    </row>
    <row r="112" spans="1:33" ht="11.25" customHeight="1" x14ac:dyDescent="0.3">
      <c r="A112" s="4" t="s">
        <v>21</v>
      </c>
      <c r="B112" s="4" t="s">
        <v>22</v>
      </c>
      <c r="C112" s="4" t="s">
        <v>33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34</v>
      </c>
      <c r="I112" s="5">
        <v>44501</v>
      </c>
      <c r="J112" s="6">
        <v>0</v>
      </c>
      <c r="K112" s="6">
        <v>0</v>
      </c>
      <c r="L112" s="6">
        <v>0.04</v>
      </c>
      <c r="M112" s="6">
        <v>0.04</v>
      </c>
      <c r="N112" s="6">
        <v>0.04</v>
      </c>
      <c r="O112" s="6">
        <v>0.04</v>
      </c>
      <c r="P112" s="6">
        <v>0</v>
      </c>
      <c r="Q112" s="4" t="s">
        <v>26</v>
      </c>
      <c r="R112" s="4">
        <v>0</v>
      </c>
      <c r="S112" s="6">
        <v>0</v>
      </c>
      <c r="T112" s="6">
        <v>15</v>
      </c>
      <c r="U112" s="6">
        <v>63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319.24</v>
      </c>
      <c r="X112" s="6">
        <f>IF(ISERROR(VLOOKUP($U$112,'TAR FIN'!$A$1:$O$85,15,0)),0,VLOOKUP($U$112,'TAR FIN'!$A$1:$O$85,15,0))</f>
        <v>221.6</v>
      </c>
      <c r="Y112" s="6"/>
      <c r="Z112" s="6">
        <f ca="1">('TUSD BE'!$AM$19+'TUSD BF'!$AM$19+'TUSD CVA'!$AM$19)*1</f>
        <v>351.07306399889961</v>
      </c>
      <c r="AA112" s="6">
        <f>('TE BE'!$AB$10+'TE BF'!$AB$10+'TE CVA'!$AB$10)*1</f>
        <v>269.20939423802389</v>
      </c>
      <c r="AB112" s="6">
        <f>$K$112*$V$112</f>
        <v>0</v>
      </c>
      <c r="AC112" s="6">
        <f>$M$112*$W$112</f>
        <v>12.769600000000001</v>
      </c>
      <c r="AD112" s="6">
        <f>$O$112*$X$112</f>
        <v>8.8640000000000008</v>
      </c>
      <c r="AE112" s="6">
        <f>$K$112*$Y$112</f>
        <v>0</v>
      </c>
      <c r="AF112" s="6">
        <f ca="1">$M$112*$Z$112</f>
        <v>14.042922559955985</v>
      </c>
      <c r="AG112" s="6">
        <f>$O$112*$AA$112</f>
        <v>10.768375769520956</v>
      </c>
    </row>
    <row r="113" spans="1:33" ht="11.25" customHeight="1" x14ac:dyDescent="0.3">
      <c r="A113" s="4" t="s">
        <v>21</v>
      </c>
      <c r="B113" s="4" t="s">
        <v>22</v>
      </c>
      <c r="C113" s="4" t="s">
        <v>33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34</v>
      </c>
      <c r="I113" s="5">
        <v>44531</v>
      </c>
      <c r="J113" s="6">
        <v>0</v>
      </c>
      <c r="K113" s="6">
        <v>0</v>
      </c>
      <c r="L113" s="6">
        <v>0.06</v>
      </c>
      <c r="M113" s="6">
        <v>0.06</v>
      </c>
      <c r="N113" s="6">
        <v>0.06</v>
      </c>
      <c r="O113" s="6">
        <v>0.06</v>
      </c>
      <c r="P113" s="6">
        <v>0</v>
      </c>
      <c r="Q113" s="4" t="s">
        <v>26</v>
      </c>
      <c r="R113" s="4">
        <v>0</v>
      </c>
      <c r="S113" s="6">
        <v>0</v>
      </c>
      <c r="T113" s="6">
        <v>15</v>
      </c>
      <c r="U113" s="6">
        <v>63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319.24</v>
      </c>
      <c r="X113" s="6">
        <f>IF(ISERROR(VLOOKUP($U$113,'TAR FIN'!$A$1:$O$85,15,0)),0,VLOOKUP($U$113,'TAR FIN'!$A$1:$O$85,15,0))</f>
        <v>221.6</v>
      </c>
      <c r="Y113" s="6"/>
      <c r="Z113" s="6">
        <f ca="1">('TUSD BE'!$AM$19+'TUSD BF'!$AM$19+'TUSD CVA'!$AM$19)*1</f>
        <v>351.07306399889961</v>
      </c>
      <c r="AA113" s="6">
        <f>('TE BE'!$AB$10+'TE BF'!$AB$10+'TE CVA'!$AB$10)*1</f>
        <v>269.20939423802389</v>
      </c>
      <c r="AB113" s="6">
        <f>$K$113*$V$113</f>
        <v>0</v>
      </c>
      <c r="AC113" s="6">
        <f>$M$113*$W$113</f>
        <v>19.154399999999999</v>
      </c>
      <c r="AD113" s="6">
        <f>$O$113*$X$113</f>
        <v>13.295999999999999</v>
      </c>
      <c r="AE113" s="6">
        <f>$K$113*$Y$113</f>
        <v>0</v>
      </c>
      <c r="AF113" s="6">
        <f ca="1">$M$113*$Z$113</f>
        <v>21.064383839933978</v>
      </c>
      <c r="AG113" s="6">
        <f>$O$113*$AA$113</f>
        <v>16.152563654281433</v>
      </c>
    </row>
    <row r="114" spans="1:33" ht="11.25" customHeight="1" x14ac:dyDescent="0.3">
      <c r="A114" s="4" t="s">
        <v>21</v>
      </c>
      <c r="B114" s="4" t="s">
        <v>22</v>
      </c>
      <c r="C114" s="4" t="s">
        <v>33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34</v>
      </c>
      <c r="I114" s="5">
        <v>44562</v>
      </c>
      <c r="J114" s="6">
        <v>0</v>
      </c>
      <c r="K114" s="6">
        <v>0</v>
      </c>
      <c r="L114" s="6">
        <v>3.1E-2</v>
      </c>
      <c r="M114" s="6">
        <v>3.1E-2</v>
      </c>
      <c r="N114" s="6">
        <v>3.1E-2</v>
      </c>
      <c r="O114" s="6">
        <v>3.1E-2</v>
      </c>
      <c r="P114" s="6">
        <v>0</v>
      </c>
      <c r="Q114" s="4" t="s">
        <v>26</v>
      </c>
      <c r="R114" s="4">
        <v>0</v>
      </c>
      <c r="S114" s="6">
        <v>0</v>
      </c>
      <c r="T114" s="6">
        <v>15</v>
      </c>
      <c r="U114" s="6">
        <v>63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319.24</v>
      </c>
      <c r="X114" s="6">
        <f>IF(ISERROR(VLOOKUP($U$114,'TAR FIN'!$A$1:$O$85,15,0)),0,VLOOKUP($U$114,'TAR FIN'!$A$1:$O$85,15,0))</f>
        <v>221.6</v>
      </c>
      <c r="Y114" s="6"/>
      <c r="Z114" s="6">
        <f ca="1">('TUSD BE'!$AM$19+'TUSD BF'!$AM$19+'TUSD CVA'!$AM$19)*1</f>
        <v>351.07306399889961</v>
      </c>
      <c r="AA114" s="6">
        <f>('TE BE'!$AB$10+'TE BF'!$AB$10+'TE CVA'!$AB$10)*1</f>
        <v>269.20939423802389</v>
      </c>
      <c r="AB114" s="6">
        <f>$K$114*$V$114</f>
        <v>0</v>
      </c>
      <c r="AC114" s="6">
        <f>$M$114*$W$114</f>
        <v>9.8964400000000001</v>
      </c>
      <c r="AD114" s="6">
        <f>$O$114*$X$114</f>
        <v>6.8696000000000002</v>
      </c>
      <c r="AE114" s="6">
        <f>$K$114*$Y$114</f>
        <v>0</v>
      </c>
      <c r="AF114" s="6">
        <f ca="1">$M$114*$Z$114</f>
        <v>10.883264983965887</v>
      </c>
      <c r="AG114" s="6">
        <f>$O$114*$AA$114</f>
        <v>8.3454912213787402</v>
      </c>
    </row>
    <row r="115" spans="1:33" ht="11.25" customHeight="1" x14ac:dyDescent="0.3">
      <c r="A115" s="4" t="s">
        <v>21</v>
      </c>
      <c r="B115" s="4" t="s">
        <v>22</v>
      </c>
      <c r="C115" s="4" t="s">
        <v>33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34</v>
      </c>
      <c r="I115" s="5">
        <v>44593</v>
      </c>
      <c r="J115" s="6">
        <v>0</v>
      </c>
      <c r="K115" s="6">
        <v>0</v>
      </c>
      <c r="L115" s="6">
        <v>3.7999999999999999E-2</v>
      </c>
      <c r="M115" s="6">
        <v>3.7999999999999999E-2</v>
      </c>
      <c r="N115" s="6">
        <v>3.7999999999999999E-2</v>
      </c>
      <c r="O115" s="6">
        <v>3.7999999999999999E-2</v>
      </c>
      <c r="P115" s="6">
        <v>0</v>
      </c>
      <c r="Q115" s="4" t="s">
        <v>26</v>
      </c>
      <c r="R115" s="4">
        <v>0</v>
      </c>
      <c r="S115" s="6">
        <v>0</v>
      </c>
      <c r="T115" s="6">
        <v>15</v>
      </c>
      <c r="U115" s="6">
        <v>63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319.24</v>
      </c>
      <c r="X115" s="6">
        <f>IF(ISERROR(VLOOKUP($U$115,'TAR FIN'!$A$1:$O$85,15,0)),0,VLOOKUP($U$115,'TAR FIN'!$A$1:$O$85,15,0))</f>
        <v>221.6</v>
      </c>
      <c r="Y115" s="6"/>
      <c r="Z115" s="6">
        <f ca="1">('TUSD BE'!$AM$19+'TUSD BF'!$AM$19+'TUSD CVA'!$AM$19)*1</f>
        <v>351.07306399889961</v>
      </c>
      <c r="AA115" s="6">
        <f>('TE BE'!$AB$10+'TE BF'!$AB$10+'TE CVA'!$AB$10)*1</f>
        <v>269.20939423802389</v>
      </c>
      <c r="AB115" s="6">
        <f>$K$115*$V$115</f>
        <v>0</v>
      </c>
      <c r="AC115" s="6">
        <f>$M$115*$W$115</f>
        <v>12.131119999999999</v>
      </c>
      <c r="AD115" s="6">
        <f>$O$115*$X$115</f>
        <v>8.4207999999999998</v>
      </c>
      <c r="AE115" s="6">
        <f>$K$115*$Y$115</f>
        <v>0</v>
      </c>
      <c r="AF115" s="6">
        <f ca="1">$M$115*$Z$115</f>
        <v>13.340776431958185</v>
      </c>
      <c r="AG115" s="6">
        <f>$O$115*$AA$115</f>
        <v>10.229956981044907</v>
      </c>
    </row>
    <row r="116" spans="1:33" ht="11.25" customHeight="1" x14ac:dyDescent="0.3">
      <c r="A116" s="4" t="s">
        <v>21</v>
      </c>
      <c r="B116" s="4" t="s">
        <v>22</v>
      </c>
      <c r="C116" s="4" t="s">
        <v>33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34</v>
      </c>
      <c r="I116" s="5">
        <v>44621</v>
      </c>
      <c r="J116" s="6">
        <v>0</v>
      </c>
      <c r="K116" s="6">
        <v>0</v>
      </c>
      <c r="L116" s="6">
        <v>6.2E-2</v>
      </c>
      <c r="M116" s="6">
        <v>6.2E-2</v>
      </c>
      <c r="N116" s="6">
        <v>6.2E-2</v>
      </c>
      <c r="O116" s="6">
        <v>6.2E-2</v>
      </c>
      <c r="P116" s="6">
        <v>0</v>
      </c>
      <c r="Q116" s="4" t="s">
        <v>26</v>
      </c>
      <c r="R116" s="4">
        <v>0</v>
      </c>
      <c r="S116" s="6">
        <v>0</v>
      </c>
      <c r="T116" s="6">
        <v>15</v>
      </c>
      <c r="U116" s="6">
        <v>63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319.24</v>
      </c>
      <c r="X116" s="6">
        <f>IF(ISERROR(VLOOKUP($U$116,'TAR FIN'!$A$1:$O$85,15,0)),0,VLOOKUP($U$116,'TAR FIN'!$A$1:$O$85,15,0))</f>
        <v>221.6</v>
      </c>
      <c r="Y116" s="6"/>
      <c r="Z116" s="6">
        <f ca="1">('TUSD BE'!$AM$19+'TUSD BF'!$AM$19+'TUSD CVA'!$AM$19)*1</f>
        <v>351.07306399889961</v>
      </c>
      <c r="AA116" s="6">
        <f>('TE BE'!$AB$10+'TE BF'!$AB$10+'TE CVA'!$AB$10)*1</f>
        <v>269.20939423802389</v>
      </c>
      <c r="AB116" s="6">
        <f>$K$116*$V$116</f>
        <v>0</v>
      </c>
      <c r="AC116" s="6">
        <f>$M$116*$W$116</f>
        <v>19.79288</v>
      </c>
      <c r="AD116" s="6">
        <f>$O$116*$X$116</f>
        <v>13.7392</v>
      </c>
      <c r="AE116" s="6">
        <f>$K$116*$Y$116</f>
        <v>0</v>
      </c>
      <c r="AF116" s="6">
        <f ca="1">$M$116*$Z$116</f>
        <v>21.766529967931774</v>
      </c>
      <c r="AG116" s="6">
        <f>$O$116*$AA$116</f>
        <v>16.69098244275748</v>
      </c>
    </row>
    <row r="117" spans="1:33" ht="11.25" customHeight="1" x14ac:dyDescent="0.3">
      <c r="A117" s="4" t="s">
        <v>21</v>
      </c>
      <c r="B117" s="4" t="s">
        <v>22</v>
      </c>
      <c r="C117" s="4" t="s">
        <v>33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34</v>
      </c>
      <c r="I117" s="5">
        <v>44652</v>
      </c>
      <c r="J117" s="6">
        <v>0</v>
      </c>
      <c r="K117" s="6">
        <v>0</v>
      </c>
      <c r="L117" s="6">
        <v>4.1000000000000002E-2</v>
      </c>
      <c r="M117" s="6">
        <v>4.1000000000000002E-2</v>
      </c>
      <c r="N117" s="6">
        <v>4.1000000000000002E-2</v>
      </c>
      <c r="O117" s="6">
        <v>4.1000000000000002E-2</v>
      </c>
      <c r="P117" s="6">
        <v>0</v>
      </c>
      <c r="Q117" s="4" t="s">
        <v>26</v>
      </c>
      <c r="R117" s="4">
        <v>0</v>
      </c>
      <c r="S117" s="6">
        <v>0</v>
      </c>
      <c r="T117" s="6">
        <v>15</v>
      </c>
      <c r="U117" s="6">
        <v>63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319.24</v>
      </c>
      <c r="X117" s="6">
        <f>IF(ISERROR(VLOOKUP($U$117,'TAR FIN'!$A$1:$O$85,15,0)),0,VLOOKUP($U$117,'TAR FIN'!$A$1:$O$85,15,0))</f>
        <v>221.6</v>
      </c>
      <c r="Y117" s="6"/>
      <c r="Z117" s="6">
        <f ca="1">('TUSD BE'!$AM$19+'TUSD BF'!$AM$19+'TUSD CVA'!$AM$19)*1</f>
        <v>351.07306399889961</v>
      </c>
      <c r="AA117" s="6">
        <f>('TE BE'!$AB$10+'TE BF'!$AB$10+'TE CVA'!$AB$10)*1</f>
        <v>269.20939423802389</v>
      </c>
      <c r="AB117" s="6">
        <f>$K$117*$V$117</f>
        <v>0</v>
      </c>
      <c r="AC117" s="6">
        <f>$M$117*$W$117</f>
        <v>13.088840000000001</v>
      </c>
      <c r="AD117" s="6">
        <f>$O$117*$X$117</f>
        <v>9.0855999999999995</v>
      </c>
      <c r="AE117" s="6">
        <f>$K$117*$Y$117</f>
        <v>0</v>
      </c>
      <c r="AF117" s="6">
        <f ca="1">$M$117*$Z$117</f>
        <v>14.393995623954885</v>
      </c>
      <c r="AG117" s="6">
        <f>$O$117*$AA$117</f>
        <v>11.03758516375898</v>
      </c>
    </row>
    <row r="118" spans="1:33" ht="11.25" customHeight="1" x14ac:dyDescent="0.3">
      <c r="A118" s="4" t="s">
        <v>21</v>
      </c>
      <c r="B118" s="4" t="s">
        <v>22</v>
      </c>
      <c r="C118" s="4" t="s">
        <v>33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34</v>
      </c>
      <c r="I118" s="5">
        <v>44682</v>
      </c>
      <c r="J118" s="6">
        <v>0</v>
      </c>
      <c r="K118" s="6">
        <v>0</v>
      </c>
      <c r="L118" s="6">
        <v>4.2000000000000003E-2</v>
      </c>
      <c r="M118" s="6">
        <v>4.2000000000000003E-2</v>
      </c>
      <c r="N118" s="6">
        <v>4.2000000000000003E-2</v>
      </c>
      <c r="O118" s="6">
        <v>4.2000000000000003E-2</v>
      </c>
      <c r="P118" s="6">
        <v>0</v>
      </c>
      <c r="Q118" s="4" t="s">
        <v>26</v>
      </c>
      <c r="R118" s="4">
        <v>0</v>
      </c>
      <c r="S118" s="6">
        <v>0</v>
      </c>
      <c r="T118" s="6">
        <v>15</v>
      </c>
      <c r="U118" s="6">
        <v>63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319.24</v>
      </c>
      <c r="X118" s="6">
        <f>IF(ISERROR(VLOOKUP($U$118,'TAR FIN'!$A$1:$O$85,15,0)),0,VLOOKUP($U$118,'TAR FIN'!$A$1:$O$85,15,0))</f>
        <v>221.6</v>
      </c>
      <c r="Y118" s="6"/>
      <c r="Z118" s="6">
        <f ca="1">('TUSD BE'!$AM$19+'TUSD BF'!$AM$19+'TUSD CVA'!$AM$19)*1</f>
        <v>351.07306399889961</v>
      </c>
      <c r="AA118" s="6">
        <f>('TE BE'!$AB$10+'TE BF'!$AB$10+'TE CVA'!$AB$10)*1</f>
        <v>269.20939423802389</v>
      </c>
      <c r="AB118" s="6">
        <f>$K$118*$V$118</f>
        <v>0</v>
      </c>
      <c r="AC118" s="6">
        <f>$M$118*$W$118</f>
        <v>13.408080000000002</v>
      </c>
      <c r="AD118" s="6">
        <f>$O$118*$X$118</f>
        <v>9.3071999999999999</v>
      </c>
      <c r="AE118" s="6">
        <f>$K$118*$Y$118</f>
        <v>0</v>
      </c>
      <c r="AF118" s="6">
        <f ca="1">$M$118*$Z$118</f>
        <v>14.745068687953784</v>
      </c>
      <c r="AG118" s="6">
        <f>$O$118*$AA$118</f>
        <v>11.306794557997003</v>
      </c>
    </row>
    <row r="119" spans="1:33" ht="11.25" customHeight="1" x14ac:dyDescent="0.3">
      <c r="A119" s="4" t="s">
        <v>21</v>
      </c>
      <c r="B119" s="4" t="s">
        <v>22</v>
      </c>
      <c r="C119" s="4" t="s">
        <v>33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34</v>
      </c>
      <c r="I119" s="5">
        <v>44713</v>
      </c>
      <c r="J119" s="6">
        <v>0</v>
      </c>
      <c r="K119" s="6">
        <v>0</v>
      </c>
      <c r="L119" s="6">
        <v>4.2000000000000003E-2</v>
      </c>
      <c r="M119" s="6">
        <v>4.2000000000000003E-2</v>
      </c>
      <c r="N119" s="6">
        <v>4.2000000000000003E-2</v>
      </c>
      <c r="O119" s="6">
        <v>4.2000000000000003E-2</v>
      </c>
      <c r="P119" s="6">
        <v>0</v>
      </c>
      <c r="Q119" s="4" t="s">
        <v>26</v>
      </c>
      <c r="R119" s="4">
        <v>0</v>
      </c>
      <c r="S119" s="6">
        <v>0</v>
      </c>
      <c r="T119" s="6">
        <v>15</v>
      </c>
      <c r="U119" s="6">
        <v>63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319.24</v>
      </c>
      <c r="X119" s="6">
        <f>IF(ISERROR(VLOOKUP($U$119,'TAR FIN'!$A$1:$O$85,15,0)),0,VLOOKUP($U$119,'TAR FIN'!$A$1:$O$85,15,0))</f>
        <v>221.6</v>
      </c>
      <c r="Y119" s="6"/>
      <c r="Z119" s="6">
        <f ca="1">('TUSD BE'!$AM$19+'TUSD BF'!$AM$19+'TUSD CVA'!$AM$19)*1</f>
        <v>351.07306399889961</v>
      </c>
      <c r="AA119" s="6">
        <f>('TE BE'!$AB$10+'TE BF'!$AB$10+'TE CVA'!$AB$10)*1</f>
        <v>269.20939423802389</v>
      </c>
      <c r="AB119" s="6">
        <f>$K$119*$V$119</f>
        <v>0</v>
      </c>
      <c r="AC119" s="6">
        <f>$M$119*$W$119</f>
        <v>13.408080000000002</v>
      </c>
      <c r="AD119" s="6">
        <f>$O$119*$X$119</f>
        <v>9.3071999999999999</v>
      </c>
      <c r="AE119" s="6">
        <f>$K$119*$Y$119</f>
        <v>0</v>
      </c>
      <c r="AF119" s="6">
        <f ca="1">$M$119*$Z$119</f>
        <v>14.745068687953784</v>
      </c>
      <c r="AG119" s="6">
        <f>$O$119*$AA$119</f>
        <v>11.306794557997003</v>
      </c>
    </row>
    <row r="120" spans="1:33" ht="11.25" customHeight="1" x14ac:dyDescent="0.3">
      <c r="A120" s="4" t="s">
        <v>21</v>
      </c>
      <c r="B120" s="4" t="s">
        <v>22</v>
      </c>
      <c r="C120" s="4" t="s">
        <v>33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34</v>
      </c>
      <c r="I120" s="5">
        <v>44743</v>
      </c>
      <c r="J120" s="6">
        <v>0</v>
      </c>
      <c r="K120" s="6">
        <v>0</v>
      </c>
      <c r="L120" s="6">
        <v>4.1000000000000002E-2</v>
      </c>
      <c r="M120" s="6">
        <v>4.1000000000000002E-2</v>
      </c>
      <c r="N120" s="6">
        <v>4.1000000000000002E-2</v>
      </c>
      <c r="O120" s="6">
        <v>4.1000000000000002E-2</v>
      </c>
      <c r="P120" s="6">
        <v>0</v>
      </c>
      <c r="Q120" s="4" t="s">
        <v>26</v>
      </c>
      <c r="R120" s="4">
        <v>0</v>
      </c>
      <c r="S120" s="6">
        <v>0</v>
      </c>
      <c r="T120" s="6">
        <v>15</v>
      </c>
      <c r="U120" s="6">
        <v>63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319.24</v>
      </c>
      <c r="X120" s="6">
        <f>IF(ISERROR(VLOOKUP($U$120,'TAR FIN'!$A$1:$O$85,15,0)),0,VLOOKUP($U$120,'TAR FIN'!$A$1:$O$85,15,0))</f>
        <v>221.6</v>
      </c>
      <c r="Y120" s="6"/>
      <c r="Z120" s="6">
        <f ca="1">('TUSD BE'!$AM$19+'TUSD BF'!$AM$19+'TUSD CVA'!$AM$19)*1</f>
        <v>351.07306399889961</v>
      </c>
      <c r="AA120" s="6">
        <f>('TE BE'!$AB$10+'TE BF'!$AB$10+'TE CVA'!$AB$10)*1</f>
        <v>269.20939423802389</v>
      </c>
      <c r="AB120" s="6">
        <f>$K$120*$V$120</f>
        <v>0</v>
      </c>
      <c r="AC120" s="6">
        <f>$M$120*$W$120</f>
        <v>13.088840000000001</v>
      </c>
      <c r="AD120" s="6">
        <f>$O$120*$X$120</f>
        <v>9.0855999999999995</v>
      </c>
      <c r="AE120" s="6">
        <f>$K$120*$Y$120</f>
        <v>0</v>
      </c>
      <c r="AF120" s="6">
        <f ca="1">$M$120*$Z$120</f>
        <v>14.393995623954885</v>
      </c>
      <c r="AG120" s="6">
        <f>$O$120*$AA$120</f>
        <v>11.03758516375898</v>
      </c>
    </row>
    <row r="121" spans="1:33" ht="11.25" customHeight="1" x14ac:dyDescent="0.3">
      <c r="A121" s="4" t="s">
        <v>21</v>
      </c>
      <c r="B121" s="4" t="s">
        <v>22</v>
      </c>
      <c r="C121" s="4" t="s">
        <v>33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34</v>
      </c>
      <c r="I121" s="5">
        <v>44774</v>
      </c>
      <c r="J121" s="6">
        <v>0</v>
      </c>
      <c r="K121" s="6">
        <v>0</v>
      </c>
      <c r="L121" s="6">
        <v>4.2000000000000003E-2</v>
      </c>
      <c r="M121" s="6">
        <v>4.2000000000000003E-2</v>
      </c>
      <c r="N121" s="6">
        <v>4.2000000000000003E-2</v>
      </c>
      <c r="O121" s="6">
        <v>4.2000000000000003E-2</v>
      </c>
      <c r="P121" s="6">
        <v>0</v>
      </c>
      <c r="Q121" s="4" t="s">
        <v>26</v>
      </c>
      <c r="R121" s="4">
        <v>0</v>
      </c>
      <c r="S121" s="6">
        <v>0</v>
      </c>
      <c r="T121" s="6">
        <v>15</v>
      </c>
      <c r="U121" s="6">
        <v>63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319.24</v>
      </c>
      <c r="X121" s="6">
        <f>IF(ISERROR(VLOOKUP($U$121,'TAR FIN'!$A$1:$O$85,15,0)),0,VLOOKUP($U$121,'TAR FIN'!$A$1:$O$85,15,0))</f>
        <v>221.6</v>
      </c>
      <c r="Y121" s="6"/>
      <c r="Z121" s="6">
        <f ca="1">('TUSD BE'!$AM$19+'TUSD BF'!$AM$19+'TUSD CVA'!$AM$19)*1</f>
        <v>351.07306399889961</v>
      </c>
      <c r="AA121" s="6">
        <f>('TE BE'!$AB$10+'TE BF'!$AB$10+'TE CVA'!$AB$10)*1</f>
        <v>269.20939423802389</v>
      </c>
      <c r="AB121" s="6">
        <f>$K$121*$V$121</f>
        <v>0</v>
      </c>
      <c r="AC121" s="6">
        <f>$M$121*$W$121</f>
        <v>13.408080000000002</v>
      </c>
      <c r="AD121" s="6">
        <f>$O$121*$X$121</f>
        <v>9.3071999999999999</v>
      </c>
      <c r="AE121" s="6">
        <f>$K$121*$Y$121</f>
        <v>0</v>
      </c>
      <c r="AF121" s="6">
        <f ca="1">$M$121*$Z$121</f>
        <v>14.745068687953784</v>
      </c>
      <c r="AG121" s="6">
        <f>$O$121*$AA$121</f>
        <v>11.306794557997003</v>
      </c>
    </row>
    <row r="122" spans="1:33" ht="11.25" customHeight="1" x14ac:dyDescent="0.3">
      <c r="A122" s="4" t="s">
        <v>21</v>
      </c>
      <c r="B122" s="4" t="s">
        <v>22</v>
      </c>
      <c r="C122" s="4" t="s">
        <v>33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35</v>
      </c>
      <c r="I122" s="5">
        <v>44440</v>
      </c>
      <c r="J122" s="6">
        <v>0</v>
      </c>
      <c r="K122" s="6">
        <v>0</v>
      </c>
      <c r="L122" s="6">
        <v>1.7999999999999999E-2</v>
      </c>
      <c r="M122" s="6">
        <v>1.7999999999999999E-2</v>
      </c>
      <c r="N122" s="6">
        <v>1.7999999999999999E-2</v>
      </c>
      <c r="O122" s="6">
        <v>1.7999999999999999E-2</v>
      </c>
      <c r="P122" s="6">
        <v>0</v>
      </c>
      <c r="Q122" s="4" t="s">
        <v>26</v>
      </c>
      <c r="R122" s="4">
        <v>0</v>
      </c>
      <c r="S122" s="6">
        <v>0</v>
      </c>
      <c r="T122" s="6">
        <v>23</v>
      </c>
      <c r="U122" s="6">
        <v>70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714.31</v>
      </c>
      <c r="X122" s="6">
        <f>IF(ISERROR(VLOOKUP($U$122,'TAR FIN'!$A$1:$O$85,15,0)),0,VLOOKUP($U$122,'TAR FIN'!$A$1:$O$85,15,0))</f>
        <v>221.6</v>
      </c>
      <c r="Y122" s="6"/>
      <c r="Z122" s="6">
        <f ca="1">('TUSD BE'!$AM$18+'TUSD BF'!$AM$18+'TUSD CVA'!$AM$18)*1</f>
        <v>721.79681667921921</v>
      </c>
      <c r="AA122" s="6">
        <f>('TE BE'!$AB$9+'TE BF'!$AB$9+'TE CVA'!$AB$9)*1</f>
        <v>269.20939423802389</v>
      </c>
      <c r="AB122" s="6">
        <f>$K$122*$V$122</f>
        <v>0</v>
      </c>
      <c r="AC122" s="6">
        <f>$M$122*$W$122</f>
        <v>12.857579999999999</v>
      </c>
      <c r="AD122" s="6">
        <f>$O$122*$X$122</f>
        <v>3.9887999999999995</v>
      </c>
      <c r="AE122" s="6">
        <f>$K$122*$Y$122</f>
        <v>0</v>
      </c>
      <c r="AF122" s="6">
        <f ca="1">$M$122*$Z$122</f>
        <v>12.992342700225946</v>
      </c>
      <c r="AG122" s="6">
        <f>$O$122*$AA$122</f>
        <v>4.84576909628443</v>
      </c>
    </row>
    <row r="123" spans="1:33" ht="11.25" customHeight="1" x14ac:dyDescent="0.3">
      <c r="A123" s="4" t="s">
        <v>21</v>
      </c>
      <c r="B123" s="4" t="s">
        <v>22</v>
      </c>
      <c r="C123" s="4" t="s">
        <v>33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35</v>
      </c>
      <c r="I123" s="5">
        <v>44470</v>
      </c>
      <c r="J123" s="6">
        <v>0</v>
      </c>
      <c r="K123" s="6">
        <v>0</v>
      </c>
      <c r="L123" s="6">
        <v>1.9E-2</v>
      </c>
      <c r="M123" s="6">
        <v>1.9E-2</v>
      </c>
      <c r="N123" s="6">
        <v>1.9E-2</v>
      </c>
      <c r="O123" s="6">
        <v>1.9E-2</v>
      </c>
      <c r="P123" s="6">
        <v>0</v>
      </c>
      <c r="Q123" s="4" t="s">
        <v>26</v>
      </c>
      <c r="R123" s="4">
        <v>0</v>
      </c>
      <c r="S123" s="6">
        <v>0</v>
      </c>
      <c r="T123" s="6">
        <v>23</v>
      </c>
      <c r="U123" s="6">
        <v>70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714.31</v>
      </c>
      <c r="X123" s="6">
        <f>IF(ISERROR(VLOOKUP($U$123,'TAR FIN'!$A$1:$O$85,15,0)),0,VLOOKUP($U$123,'TAR FIN'!$A$1:$O$85,15,0))</f>
        <v>221.6</v>
      </c>
      <c r="Y123" s="6"/>
      <c r="Z123" s="6">
        <f ca="1">('TUSD BE'!$AM$18+'TUSD BF'!$AM$18+'TUSD CVA'!$AM$18)*1</f>
        <v>721.79681667921921</v>
      </c>
      <c r="AA123" s="6">
        <f>('TE BE'!$AB$9+'TE BF'!$AB$9+'TE CVA'!$AB$9)*1</f>
        <v>269.20939423802389</v>
      </c>
      <c r="AB123" s="6">
        <f>$K$123*$V$123</f>
        <v>0</v>
      </c>
      <c r="AC123" s="6">
        <f>$M$123*$W$123</f>
        <v>13.571889999999998</v>
      </c>
      <c r="AD123" s="6">
        <f>$O$123*$X$123</f>
        <v>4.2103999999999999</v>
      </c>
      <c r="AE123" s="6">
        <f>$K$123*$Y$123</f>
        <v>0</v>
      </c>
      <c r="AF123" s="6">
        <f ca="1">$M$123*$Z$123</f>
        <v>13.714139516905165</v>
      </c>
      <c r="AG123" s="6">
        <f>$O$123*$AA$123</f>
        <v>5.1149784905224536</v>
      </c>
    </row>
    <row r="124" spans="1:33" ht="11.25" customHeight="1" x14ac:dyDescent="0.3">
      <c r="A124" s="4" t="s">
        <v>21</v>
      </c>
      <c r="B124" s="4" t="s">
        <v>22</v>
      </c>
      <c r="C124" s="4" t="s">
        <v>33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35</v>
      </c>
      <c r="I124" s="5">
        <v>44501</v>
      </c>
      <c r="J124" s="6">
        <v>0</v>
      </c>
      <c r="K124" s="6">
        <v>0</v>
      </c>
      <c r="L124" s="6">
        <v>1.2999999999999999E-2</v>
      </c>
      <c r="M124" s="6">
        <v>1.2999999999999999E-2</v>
      </c>
      <c r="N124" s="6">
        <v>1.2999999999999999E-2</v>
      </c>
      <c r="O124" s="6">
        <v>1.2999999999999999E-2</v>
      </c>
      <c r="P124" s="6">
        <v>0</v>
      </c>
      <c r="Q124" s="4" t="s">
        <v>26</v>
      </c>
      <c r="R124" s="4">
        <v>0</v>
      </c>
      <c r="S124" s="6">
        <v>0</v>
      </c>
      <c r="T124" s="6">
        <v>23</v>
      </c>
      <c r="U124" s="6">
        <v>70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714.31</v>
      </c>
      <c r="X124" s="6">
        <f>IF(ISERROR(VLOOKUP($U$124,'TAR FIN'!$A$1:$O$85,15,0)),0,VLOOKUP($U$124,'TAR FIN'!$A$1:$O$85,15,0))</f>
        <v>221.6</v>
      </c>
      <c r="Y124" s="6"/>
      <c r="Z124" s="6">
        <f ca="1">('TUSD BE'!$AM$18+'TUSD BF'!$AM$18+'TUSD CVA'!$AM$18)*1</f>
        <v>721.79681667921921</v>
      </c>
      <c r="AA124" s="6">
        <f>('TE BE'!$AB$9+'TE BF'!$AB$9+'TE CVA'!$AB$9)*1</f>
        <v>269.20939423802389</v>
      </c>
      <c r="AB124" s="6">
        <f>$K$124*$V$124</f>
        <v>0</v>
      </c>
      <c r="AC124" s="6">
        <f>$M$124*$W$124</f>
        <v>9.2860299999999985</v>
      </c>
      <c r="AD124" s="6">
        <f>$O$124*$X$124</f>
        <v>2.8807999999999998</v>
      </c>
      <c r="AE124" s="6">
        <f>$K$124*$Y$124</f>
        <v>0</v>
      </c>
      <c r="AF124" s="6">
        <f ca="1">$M$124*$Z$124</f>
        <v>9.3833586168298488</v>
      </c>
      <c r="AG124" s="6">
        <f>$O$124*$AA$124</f>
        <v>3.4997221250943102</v>
      </c>
    </row>
    <row r="125" spans="1:33" ht="11.25" customHeight="1" x14ac:dyDescent="0.3">
      <c r="A125" s="4" t="s">
        <v>21</v>
      </c>
      <c r="B125" s="4" t="s">
        <v>22</v>
      </c>
      <c r="C125" s="4" t="s">
        <v>33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35</v>
      </c>
      <c r="I125" s="5">
        <v>44531</v>
      </c>
      <c r="J125" s="6">
        <v>0</v>
      </c>
      <c r="K125" s="6">
        <v>0</v>
      </c>
      <c r="L125" s="6">
        <v>7.0000000000000001E-3</v>
      </c>
      <c r="M125" s="6">
        <v>7.0000000000000001E-3</v>
      </c>
      <c r="N125" s="6">
        <v>7.0000000000000001E-3</v>
      </c>
      <c r="O125" s="6">
        <v>7.0000000000000001E-3</v>
      </c>
      <c r="P125" s="6">
        <v>0</v>
      </c>
      <c r="Q125" s="4" t="s">
        <v>26</v>
      </c>
      <c r="R125" s="4">
        <v>0</v>
      </c>
      <c r="S125" s="6">
        <v>0</v>
      </c>
      <c r="T125" s="6">
        <v>23</v>
      </c>
      <c r="U125" s="6">
        <v>70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714.31</v>
      </c>
      <c r="X125" s="6">
        <f>IF(ISERROR(VLOOKUP($U$125,'TAR FIN'!$A$1:$O$85,15,0)),0,VLOOKUP($U$125,'TAR FIN'!$A$1:$O$85,15,0))</f>
        <v>221.6</v>
      </c>
      <c r="Y125" s="6"/>
      <c r="Z125" s="6">
        <f ca="1">('TUSD BE'!$AM$18+'TUSD BF'!$AM$18+'TUSD CVA'!$AM$18)*1</f>
        <v>721.79681667921921</v>
      </c>
      <c r="AA125" s="6">
        <f>('TE BE'!$AB$9+'TE BF'!$AB$9+'TE CVA'!$AB$9)*1</f>
        <v>269.20939423802389</v>
      </c>
      <c r="AB125" s="6">
        <f>$K$125*$V$125</f>
        <v>0</v>
      </c>
      <c r="AC125" s="6">
        <f>$M$125*$W$125</f>
        <v>5.0001699999999998</v>
      </c>
      <c r="AD125" s="6">
        <f>$O$125*$X$125</f>
        <v>1.5511999999999999</v>
      </c>
      <c r="AE125" s="6">
        <f>$K$125*$Y$125</f>
        <v>0</v>
      </c>
      <c r="AF125" s="6">
        <f ca="1">$M$125*$Z$125</f>
        <v>5.0525777167545343</v>
      </c>
      <c r="AG125" s="6">
        <f>$O$125*$AA$125</f>
        <v>1.8844657596661674</v>
      </c>
    </row>
    <row r="126" spans="1:33" ht="11.25" customHeight="1" x14ac:dyDescent="0.3">
      <c r="A126" s="4" t="s">
        <v>21</v>
      </c>
      <c r="B126" s="4" t="s">
        <v>22</v>
      </c>
      <c r="C126" s="4" t="s">
        <v>33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35</v>
      </c>
      <c r="I126" s="5">
        <v>44562</v>
      </c>
      <c r="J126" s="6">
        <v>0</v>
      </c>
      <c r="K126" s="6">
        <v>0</v>
      </c>
      <c r="L126" s="6">
        <v>0.03</v>
      </c>
      <c r="M126" s="6">
        <v>0.03</v>
      </c>
      <c r="N126" s="6">
        <v>0.03</v>
      </c>
      <c r="O126" s="6">
        <v>0.03</v>
      </c>
      <c r="P126" s="6">
        <v>0</v>
      </c>
      <c r="Q126" s="4" t="s">
        <v>26</v>
      </c>
      <c r="R126" s="4">
        <v>0</v>
      </c>
      <c r="S126" s="6">
        <v>0</v>
      </c>
      <c r="T126" s="6">
        <v>23</v>
      </c>
      <c r="U126" s="6">
        <v>70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714.31</v>
      </c>
      <c r="X126" s="6">
        <f>IF(ISERROR(VLOOKUP($U$126,'TAR FIN'!$A$1:$O$85,15,0)),0,VLOOKUP($U$126,'TAR FIN'!$A$1:$O$85,15,0))</f>
        <v>221.6</v>
      </c>
      <c r="Y126" s="6"/>
      <c r="Z126" s="6">
        <f ca="1">('TUSD BE'!$AM$18+'TUSD BF'!$AM$18+'TUSD CVA'!$AM$18)*1</f>
        <v>721.79681667921921</v>
      </c>
      <c r="AA126" s="6">
        <f>('TE BE'!$AB$9+'TE BF'!$AB$9+'TE CVA'!$AB$9)*1</f>
        <v>269.20939423802389</v>
      </c>
      <c r="AB126" s="6">
        <f>$K$126*$V$126</f>
        <v>0</v>
      </c>
      <c r="AC126" s="6">
        <f>$M$126*$W$126</f>
        <v>21.429299999999998</v>
      </c>
      <c r="AD126" s="6">
        <f>$O$126*$X$126</f>
        <v>6.6479999999999997</v>
      </c>
      <c r="AE126" s="6">
        <f>$K$126*$Y$126</f>
        <v>0</v>
      </c>
      <c r="AF126" s="6">
        <f ca="1">$M$126*$Z$126</f>
        <v>21.653904500376576</v>
      </c>
      <c r="AG126" s="6">
        <f>$O$126*$AA$126</f>
        <v>8.0762818271407166</v>
      </c>
    </row>
    <row r="127" spans="1:33" ht="11.25" customHeight="1" x14ac:dyDescent="0.3">
      <c r="A127" s="4" t="s">
        <v>21</v>
      </c>
      <c r="B127" s="4" t="s">
        <v>22</v>
      </c>
      <c r="C127" s="4" t="s">
        <v>33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35</v>
      </c>
      <c r="I127" s="5">
        <v>44593</v>
      </c>
      <c r="J127" s="6">
        <v>0</v>
      </c>
      <c r="K127" s="6">
        <v>0</v>
      </c>
      <c r="L127" s="6">
        <v>1.2E-2</v>
      </c>
      <c r="M127" s="6">
        <v>1.2E-2</v>
      </c>
      <c r="N127" s="6">
        <v>1.2E-2</v>
      </c>
      <c r="O127" s="6">
        <v>1.2E-2</v>
      </c>
      <c r="P127" s="6">
        <v>0</v>
      </c>
      <c r="Q127" s="4" t="s">
        <v>26</v>
      </c>
      <c r="R127" s="4">
        <v>0</v>
      </c>
      <c r="S127" s="6">
        <v>0</v>
      </c>
      <c r="T127" s="6">
        <v>23</v>
      </c>
      <c r="U127" s="6">
        <v>70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714.31</v>
      </c>
      <c r="X127" s="6">
        <f>IF(ISERROR(VLOOKUP($U$127,'TAR FIN'!$A$1:$O$85,15,0)),0,VLOOKUP($U$127,'TAR FIN'!$A$1:$O$85,15,0))</f>
        <v>221.6</v>
      </c>
      <c r="Y127" s="6"/>
      <c r="Z127" s="6">
        <f ca="1">('TUSD BE'!$AM$18+'TUSD BF'!$AM$18+'TUSD CVA'!$AM$18)*1</f>
        <v>721.79681667921921</v>
      </c>
      <c r="AA127" s="6">
        <f>('TE BE'!$AB$9+'TE BF'!$AB$9+'TE CVA'!$AB$9)*1</f>
        <v>269.20939423802389</v>
      </c>
      <c r="AB127" s="6">
        <f>$K$127*$V$127</f>
        <v>0</v>
      </c>
      <c r="AC127" s="6">
        <f>$M$127*$W$127</f>
        <v>8.5717199999999991</v>
      </c>
      <c r="AD127" s="6">
        <f>$O$127*$X$127</f>
        <v>2.6591999999999998</v>
      </c>
      <c r="AE127" s="6">
        <f>$K$127*$Y$127</f>
        <v>0</v>
      </c>
      <c r="AF127" s="6">
        <f ca="1">$M$127*$Z$127</f>
        <v>8.6615618001506309</v>
      </c>
      <c r="AG127" s="6">
        <f>$O$127*$AA$127</f>
        <v>3.2305127308562867</v>
      </c>
    </row>
    <row r="128" spans="1:33" ht="11.25" customHeight="1" x14ac:dyDescent="0.3">
      <c r="A128" s="4" t="s">
        <v>21</v>
      </c>
      <c r="B128" s="4" t="s">
        <v>22</v>
      </c>
      <c r="C128" s="4" t="s">
        <v>33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35</v>
      </c>
      <c r="I128" s="5">
        <v>44621</v>
      </c>
      <c r="J128" s="6">
        <v>0</v>
      </c>
      <c r="K128" s="6">
        <v>0</v>
      </c>
      <c r="L128" s="6">
        <v>2.8000000000000001E-2</v>
      </c>
      <c r="M128" s="6">
        <v>2.8000000000000001E-2</v>
      </c>
      <c r="N128" s="6">
        <v>2.8000000000000001E-2</v>
      </c>
      <c r="O128" s="6">
        <v>2.8000000000000001E-2</v>
      </c>
      <c r="P128" s="6">
        <v>0</v>
      </c>
      <c r="Q128" s="4" t="s">
        <v>26</v>
      </c>
      <c r="R128" s="4">
        <v>0</v>
      </c>
      <c r="S128" s="6">
        <v>0</v>
      </c>
      <c r="T128" s="6">
        <v>23</v>
      </c>
      <c r="U128" s="6">
        <v>70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714.31</v>
      </c>
      <c r="X128" s="6">
        <f>IF(ISERROR(VLOOKUP($U$128,'TAR FIN'!$A$1:$O$85,15,0)),0,VLOOKUP($U$128,'TAR FIN'!$A$1:$O$85,15,0))</f>
        <v>221.6</v>
      </c>
      <c r="Y128" s="6"/>
      <c r="Z128" s="6">
        <f ca="1">('TUSD BE'!$AM$18+'TUSD BF'!$AM$18+'TUSD CVA'!$AM$18)*1</f>
        <v>721.79681667921921</v>
      </c>
      <c r="AA128" s="6">
        <f>('TE BE'!$AB$9+'TE BF'!$AB$9+'TE CVA'!$AB$9)*1</f>
        <v>269.20939423802389</v>
      </c>
      <c r="AB128" s="6">
        <f>$K$128*$V$128</f>
        <v>0</v>
      </c>
      <c r="AC128" s="6">
        <f>$M$128*$W$128</f>
        <v>20.000679999999999</v>
      </c>
      <c r="AD128" s="6">
        <f>$O$128*$X$128</f>
        <v>6.2047999999999996</v>
      </c>
      <c r="AE128" s="6">
        <f>$K$128*$Y$128</f>
        <v>0</v>
      </c>
      <c r="AF128" s="6">
        <f ca="1">$M$128*$Z$128</f>
        <v>20.210310867018137</v>
      </c>
      <c r="AG128" s="6">
        <f>$O$128*$AA$128</f>
        <v>7.5378630386646694</v>
      </c>
    </row>
    <row r="129" spans="1:33" ht="11.25" customHeight="1" x14ac:dyDescent="0.3">
      <c r="A129" s="4" t="s">
        <v>21</v>
      </c>
      <c r="B129" s="4" t="s">
        <v>22</v>
      </c>
      <c r="C129" s="4" t="s">
        <v>33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35</v>
      </c>
      <c r="I129" s="5">
        <v>44652</v>
      </c>
      <c r="J129" s="6">
        <v>0</v>
      </c>
      <c r="K129" s="6">
        <v>0</v>
      </c>
      <c r="L129" s="6">
        <v>1.9E-2</v>
      </c>
      <c r="M129" s="6">
        <v>1.9E-2</v>
      </c>
      <c r="N129" s="6">
        <v>1.9E-2</v>
      </c>
      <c r="O129" s="6">
        <v>1.9E-2</v>
      </c>
      <c r="P129" s="6">
        <v>0</v>
      </c>
      <c r="Q129" s="4" t="s">
        <v>26</v>
      </c>
      <c r="R129" s="4">
        <v>0</v>
      </c>
      <c r="S129" s="6">
        <v>0</v>
      </c>
      <c r="T129" s="6">
        <v>23</v>
      </c>
      <c r="U129" s="6">
        <v>70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714.31</v>
      </c>
      <c r="X129" s="6">
        <f>IF(ISERROR(VLOOKUP($U$129,'TAR FIN'!$A$1:$O$85,15,0)),0,VLOOKUP($U$129,'TAR FIN'!$A$1:$O$85,15,0))</f>
        <v>221.6</v>
      </c>
      <c r="Y129" s="6"/>
      <c r="Z129" s="6">
        <f ca="1">('TUSD BE'!$AM$18+'TUSD BF'!$AM$18+'TUSD CVA'!$AM$18)*1</f>
        <v>721.79681667921921</v>
      </c>
      <c r="AA129" s="6">
        <f>('TE BE'!$AB$9+'TE BF'!$AB$9+'TE CVA'!$AB$9)*1</f>
        <v>269.20939423802389</v>
      </c>
      <c r="AB129" s="6">
        <f>$K$129*$V$129</f>
        <v>0</v>
      </c>
      <c r="AC129" s="6">
        <f>$M$129*$W$129</f>
        <v>13.571889999999998</v>
      </c>
      <c r="AD129" s="6">
        <f>$O$129*$X$129</f>
        <v>4.2103999999999999</v>
      </c>
      <c r="AE129" s="6">
        <f>$K$129*$Y$129</f>
        <v>0</v>
      </c>
      <c r="AF129" s="6">
        <f ca="1">$M$129*$Z$129</f>
        <v>13.714139516905165</v>
      </c>
      <c r="AG129" s="6">
        <f>$O$129*$AA$129</f>
        <v>5.1149784905224536</v>
      </c>
    </row>
    <row r="130" spans="1:33" ht="11.25" customHeight="1" x14ac:dyDescent="0.3">
      <c r="A130" s="4" t="s">
        <v>21</v>
      </c>
      <c r="B130" s="4" t="s">
        <v>22</v>
      </c>
      <c r="C130" s="4" t="s">
        <v>33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35</v>
      </c>
      <c r="I130" s="5">
        <v>44682</v>
      </c>
      <c r="J130" s="6">
        <v>0</v>
      </c>
      <c r="K130" s="6">
        <v>0</v>
      </c>
      <c r="L130" s="6">
        <v>1.2E-2</v>
      </c>
      <c r="M130" s="6">
        <v>1.2E-2</v>
      </c>
      <c r="N130" s="6">
        <v>1.2E-2</v>
      </c>
      <c r="O130" s="6">
        <v>1.2E-2</v>
      </c>
      <c r="P130" s="6">
        <v>0</v>
      </c>
      <c r="Q130" s="4" t="s">
        <v>26</v>
      </c>
      <c r="R130" s="4">
        <v>0</v>
      </c>
      <c r="S130" s="6">
        <v>0</v>
      </c>
      <c r="T130" s="6">
        <v>23</v>
      </c>
      <c r="U130" s="6">
        <v>70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714.31</v>
      </c>
      <c r="X130" s="6">
        <f>IF(ISERROR(VLOOKUP($U$130,'TAR FIN'!$A$1:$O$85,15,0)),0,VLOOKUP($U$130,'TAR FIN'!$A$1:$O$85,15,0))</f>
        <v>221.6</v>
      </c>
      <c r="Y130" s="6"/>
      <c r="Z130" s="6">
        <f ca="1">('TUSD BE'!$AM$18+'TUSD BF'!$AM$18+'TUSD CVA'!$AM$18)*1</f>
        <v>721.79681667921921</v>
      </c>
      <c r="AA130" s="6">
        <f>('TE BE'!$AB$9+'TE BF'!$AB$9+'TE CVA'!$AB$9)*1</f>
        <v>269.20939423802389</v>
      </c>
      <c r="AB130" s="6">
        <f>$K$130*$V$130</f>
        <v>0</v>
      </c>
      <c r="AC130" s="6">
        <f>$M$130*$W$130</f>
        <v>8.5717199999999991</v>
      </c>
      <c r="AD130" s="6">
        <f>$O$130*$X$130</f>
        <v>2.6591999999999998</v>
      </c>
      <c r="AE130" s="6">
        <f>$K$130*$Y$130</f>
        <v>0</v>
      </c>
      <c r="AF130" s="6">
        <f ca="1">$M$130*$Z$130</f>
        <v>8.6615618001506309</v>
      </c>
      <c r="AG130" s="6">
        <f>$O$130*$AA$130</f>
        <v>3.2305127308562867</v>
      </c>
    </row>
    <row r="131" spans="1:33" ht="11.25" customHeight="1" x14ac:dyDescent="0.3">
      <c r="A131" s="4" t="s">
        <v>21</v>
      </c>
      <c r="B131" s="4" t="s">
        <v>22</v>
      </c>
      <c r="C131" s="4" t="s">
        <v>33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35</v>
      </c>
      <c r="I131" s="5">
        <v>44713</v>
      </c>
      <c r="J131" s="6">
        <v>0</v>
      </c>
      <c r="K131" s="6">
        <v>0</v>
      </c>
      <c r="L131" s="6">
        <v>1.2E-2</v>
      </c>
      <c r="M131" s="6">
        <v>1.2E-2</v>
      </c>
      <c r="N131" s="6">
        <v>1.2E-2</v>
      </c>
      <c r="O131" s="6">
        <v>1.2E-2</v>
      </c>
      <c r="P131" s="6">
        <v>0</v>
      </c>
      <c r="Q131" s="4" t="s">
        <v>26</v>
      </c>
      <c r="R131" s="4">
        <v>0</v>
      </c>
      <c r="S131" s="6">
        <v>0</v>
      </c>
      <c r="T131" s="6">
        <v>23</v>
      </c>
      <c r="U131" s="6">
        <v>70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714.31</v>
      </c>
      <c r="X131" s="6">
        <f>IF(ISERROR(VLOOKUP($U$131,'TAR FIN'!$A$1:$O$85,15,0)),0,VLOOKUP($U$131,'TAR FIN'!$A$1:$O$85,15,0))</f>
        <v>221.6</v>
      </c>
      <c r="Y131" s="6"/>
      <c r="Z131" s="6">
        <f ca="1">('TUSD BE'!$AM$18+'TUSD BF'!$AM$18+'TUSD CVA'!$AM$18)*1</f>
        <v>721.79681667921921</v>
      </c>
      <c r="AA131" s="6">
        <f>('TE BE'!$AB$9+'TE BF'!$AB$9+'TE CVA'!$AB$9)*1</f>
        <v>269.20939423802389</v>
      </c>
      <c r="AB131" s="6">
        <f>$K$131*$V$131</f>
        <v>0</v>
      </c>
      <c r="AC131" s="6">
        <f>$M$131*$W$131</f>
        <v>8.5717199999999991</v>
      </c>
      <c r="AD131" s="6">
        <f>$O$131*$X$131</f>
        <v>2.6591999999999998</v>
      </c>
      <c r="AE131" s="6">
        <f>$K$131*$Y$131</f>
        <v>0</v>
      </c>
      <c r="AF131" s="6">
        <f ca="1">$M$131*$Z$131</f>
        <v>8.6615618001506309</v>
      </c>
      <c r="AG131" s="6">
        <f>$O$131*$AA$131</f>
        <v>3.2305127308562867</v>
      </c>
    </row>
    <row r="132" spans="1:33" ht="11.25" customHeight="1" x14ac:dyDescent="0.3">
      <c r="A132" s="4" t="s">
        <v>21</v>
      </c>
      <c r="B132" s="4" t="s">
        <v>22</v>
      </c>
      <c r="C132" s="4" t="s">
        <v>33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35</v>
      </c>
      <c r="I132" s="5">
        <v>44743</v>
      </c>
      <c r="J132" s="6">
        <v>0</v>
      </c>
      <c r="K132" s="6">
        <v>0</v>
      </c>
      <c r="L132" s="6">
        <v>1.2999999999999999E-2</v>
      </c>
      <c r="M132" s="6">
        <v>1.2999999999999999E-2</v>
      </c>
      <c r="N132" s="6">
        <v>1.2999999999999999E-2</v>
      </c>
      <c r="O132" s="6">
        <v>1.2999999999999999E-2</v>
      </c>
      <c r="P132" s="6">
        <v>0</v>
      </c>
      <c r="Q132" s="4" t="s">
        <v>26</v>
      </c>
      <c r="R132" s="4">
        <v>0</v>
      </c>
      <c r="S132" s="6">
        <v>0</v>
      </c>
      <c r="T132" s="6">
        <v>23</v>
      </c>
      <c r="U132" s="6">
        <v>70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714.31</v>
      </c>
      <c r="X132" s="6">
        <f>IF(ISERROR(VLOOKUP($U$132,'TAR FIN'!$A$1:$O$85,15,0)),0,VLOOKUP($U$132,'TAR FIN'!$A$1:$O$85,15,0))</f>
        <v>221.6</v>
      </c>
      <c r="Y132" s="6"/>
      <c r="Z132" s="6">
        <f ca="1">('TUSD BE'!$AM$18+'TUSD BF'!$AM$18+'TUSD CVA'!$AM$18)*1</f>
        <v>721.79681667921921</v>
      </c>
      <c r="AA132" s="6">
        <f>('TE BE'!$AB$9+'TE BF'!$AB$9+'TE CVA'!$AB$9)*1</f>
        <v>269.20939423802389</v>
      </c>
      <c r="AB132" s="6">
        <f>$K$132*$V$132</f>
        <v>0</v>
      </c>
      <c r="AC132" s="6">
        <f>$M$132*$W$132</f>
        <v>9.2860299999999985</v>
      </c>
      <c r="AD132" s="6">
        <f>$O$132*$X$132</f>
        <v>2.8807999999999998</v>
      </c>
      <c r="AE132" s="6">
        <f>$K$132*$Y$132</f>
        <v>0</v>
      </c>
      <c r="AF132" s="6">
        <f ca="1">$M$132*$Z$132</f>
        <v>9.3833586168298488</v>
      </c>
      <c r="AG132" s="6">
        <f>$O$132*$AA$132</f>
        <v>3.4997221250943102</v>
      </c>
    </row>
    <row r="133" spans="1:33" ht="11.25" customHeight="1" x14ac:dyDescent="0.3">
      <c r="A133" s="4" t="s">
        <v>21</v>
      </c>
      <c r="B133" s="4" t="s">
        <v>22</v>
      </c>
      <c r="C133" s="4" t="s">
        <v>33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35</v>
      </c>
      <c r="I133" s="5">
        <v>44774</v>
      </c>
      <c r="J133" s="6">
        <v>0</v>
      </c>
      <c r="K133" s="6">
        <v>0</v>
      </c>
      <c r="L133" s="6">
        <v>1.2E-2</v>
      </c>
      <c r="M133" s="6">
        <v>1.2E-2</v>
      </c>
      <c r="N133" s="6">
        <v>1.2E-2</v>
      </c>
      <c r="O133" s="6">
        <v>1.2E-2</v>
      </c>
      <c r="P133" s="6">
        <v>0</v>
      </c>
      <c r="Q133" s="4" t="s">
        <v>26</v>
      </c>
      <c r="R133" s="4">
        <v>0</v>
      </c>
      <c r="S133" s="6">
        <v>0</v>
      </c>
      <c r="T133" s="6">
        <v>23</v>
      </c>
      <c r="U133" s="6">
        <v>70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714.31</v>
      </c>
      <c r="X133" s="6">
        <f>IF(ISERROR(VLOOKUP($U$133,'TAR FIN'!$A$1:$O$85,15,0)),0,VLOOKUP($U$133,'TAR FIN'!$A$1:$O$85,15,0))</f>
        <v>221.6</v>
      </c>
      <c r="Y133" s="6"/>
      <c r="Z133" s="6">
        <f ca="1">('TUSD BE'!$AM$18+'TUSD BF'!$AM$18+'TUSD CVA'!$AM$18)*1</f>
        <v>721.79681667921921</v>
      </c>
      <c r="AA133" s="6">
        <f>('TE BE'!$AB$9+'TE BF'!$AB$9+'TE CVA'!$AB$9)*1</f>
        <v>269.20939423802389</v>
      </c>
      <c r="AB133" s="6">
        <f>$K$133*$V$133</f>
        <v>0</v>
      </c>
      <c r="AC133" s="6">
        <f>$M$133*$W$133</f>
        <v>8.5717199999999991</v>
      </c>
      <c r="AD133" s="6">
        <f>$O$133*$X$133</f>
        <v>2.6591999999999998</v>
      </c>
      <c r="AE133" s="6">
        <f>$K$133*$Y$133</f>
        <v>0</v>
      </c>
      <c r="AF133" s="6">
        <f ca="1">$M$133*$Z$133</f>
        <v>8.6615618001506309</v>
      </c>
      <c r="AG133" s="6">
        <f>$O$133*$AA$133</f>
        <v>3.2305127308562867</v>
      </c>
    </row>
    <row r="134" spans="1:3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44440</v>
      </c>
      <c r="J134" s="6">
        <v>0</v>
      </c>
      <c r="K134" s="6">
        <v>0</v>
      </c>
      <c r="L134" s="6">
        <v>423.71499999999997</v>
      </c>
      <c r="M134" s="6">
        <v>423.71499999999997</v>
      </c>
      <c r="N134" s="6">
        <v>423.71499999999997</v>
      </c>
      <c r="O134" s="6">
        <v>423.71499999999997</v>
      </c>
      <c r="P134" s="6">
        <v>3253</v>
      </c>
      <c r="Q134" s="4" t="s">
        <v>26</v>
      </c>
      <c r="R134" s="4">
        <v>0</v>
      </c>
      <c r="S134" s="6">
        <v>0</v>
      </c>
      <c r="T134" s="6">
        <v>26</v>
      </c>
      <c r="U134" s="6">
        <v>57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462.27</v>
      </c>
      <c r="X134" s="6">
        <f>IF(ISERROR(VLOOKUP($U$134,'TAR FIN'!$A$1:$O$85,15,0)),0,VLOOKUP($U$134,'TAR FIN'!$A$1:$O$85,15,0))</f>
        <v>221.6</v>
      </c>
      <c r="Y134" s="6"/>
      <c r="Z134" s="6">
        <f ca="1">('TUSD BE'!$AM$20+'TUSD BF'!$AM$20+'TUSD CVA'!$AM$20)*1</f>
        <v>485.29225363792813</v>
      </c>
      <c r="AA134" s="6">
        <f>('TE BE'!$AB$11+'TE BF'!$AB$11+'TE CVA'!$AB$11)*1</f>
        <v>269.20939423802389</v>
      </c>
      <c r="AB134" s="6">
        <f>$K$134*$V$134</f>
        <v>0</v>
      </c>
      <c r="AC134" s="6">
        <f>$M$134*$W$134</f>
        <v>195870.73304999998</v>
      </c>
      <c r="AD134" s="6">
        <f>$O$134*$X$134</f>
        <v>93895.243999999992</v>
      </c>
      <c r="AE134" s="6">
        <f>$K$134*$Y$134</f>
        <v>0</v>
      </c>
      <c r="AF134" s="6">
        <f ca="1">$M$134*$Z$134</f>
        <v>205625.60725019471</v>
      </c>
      <c r="AG134" s="6">
        <f>$O$134*$AA$134</f>
        <v>114068.05847956428</v>
      </c>
    </row>
    <row r="135" spans="1:33" ht="11.25" customHeight="1" x14ac:dyDescent="0.3">
      <c r="A135" s="4" t="s">
        <v>27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-0.79100000000000004</v>
      </c>
      <c r="M135" s="6">
        <v>-0.79100000000000004</v>
      </c>
      <c r="N135" s="6">
        <v>-0.79100000000000004</v>
      </c>
      <c r="O135" s="6">
        <v>-0.79100000000000004</v>
      </c>
      <c r="P135" s="6">
        <v>0</v>
      </c>
      <c r="Q135" s="4" t="s">
        <v>26</v>
      </c>
      <c r="R135" s="4">
        <v>0</v>
      </c>
      <c r="S135" s="6">
        <v>0</v>
      </c>
      <c r="T135" s="6">
        <v>26</v>
      </c>
      <c r="U135" s="6">
        <v>57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462.27</v>
      </c>
      <c r="X135" s="6">
        <f>IF(ISERROR(VLOOKUP($U$135,'TAR FIN'!$A$1:$O$85,15,0)),0,VLOOKUP($U$135,'TAR FIN'!$A$1:$O$85,15,0))</f>
        <v>221.6</v>
      </c>
      <c r="Y135" s="6"/>
      <c r="Z135" s="6">
        <f ca="1">('TUSD BE'!$AM$20+'TUSD BF'!$AM$20+'TUSD CVA'!$AM$20)*1</f>
        <v>485.29225363792813</v>
      </c>
      <c r="AA135" s="6">
        <f>('TE BE'!$AB$11+'TE BF'!$AB$11+'TE CVA'!$AB$11)*1</f>
        <v>269.20939423802389</v>
      </c>
      <c r="AB135" s="6">
        <f>$K$135*$V$135</f>
        <v>0</v>
      </c>
      <c r="AC135" s="6">
        <f>$M$135*$W$135</f>
        <v>-365.65557000000001</v>
      </c>
      <c r="AD135" s="6">
        <f>$O$135*$X$135</f>
        <v>-175.28560000000002</v>
      </c>
      <c r="AE135" s="6">
        <f>$K$135*$Y$135</f>
        <v>0</v>
      </c>
      <c r="AF135" s="6">
        <f ca="1">$M$135*$Z$135</f>
        <v>-383.86617262760114</v>
      </c>
      <c r="AG135" s="6">
        <f>$O$135*$AA$135</f>
        <v>-212.94463084227689</v>
      </c>
    </row>
    <row r="136" spans="1:33" ht="11.25" customHeight="1" x14ac:dyDescent="0.3">
      <c r="A136" s="4" t="s">
        <v>28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44440</v>
      </c>
      <c r="J136" s="6">
        <v>0</v>
      </c>
      <c r="K136" s="6">
        <v>0</v>
      </c>
      <c r="L136" s="6">
        <v>2.7389999999999999</v>
      </c>
      <c r="M136" s="6">
        <v>2.7389999999999999</v>
      </c>
      <c r="N136" s="6">
        <v>2.7389999999999999</v>
      </c>
      <c r="O136" s="6">
        <v>2.7389999999999999</v>
      </c>
      <c r="P136" s="6">
        <v>25</v>
      </c>
      <c r="Q136" s="4" t="s">
        <v>26</v>
      </c>
      <c r="R136" s="4">
        <v>0</v>
      </c>
      <c r="S136" s="6">
        <v>0</v>
      </c>
      <c r="T136" s="6">
        <v>26</v>
      </c>
      <c r="U136" s="6">
        <v>57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462.27</v>
      </c>
      <c r="X136" s="6">
        <f>IF(ISERROR(VLOOKUP($U$136,'TAR FIN'!$A$1:$O$85,15,0)),0,VLOOKUP($U$136,'TAR FIN'!$A$1:$O$85,15,0))</f>
        <v>221.6</v>
      </c>
      <c r="Y136" s="6"/>
      <c r="Z136" s="6">
        <f ca="1">('TUSD BE'!$AM$20+'TUSD BF'!$AM$20+'TUSD CVA'!$AM$20)*1</f>
        <v>485.29225363792813</v>
      </c>
      <c r="AA136" s="6">
        <f>('TE BE'!$AB$11+'TE BF'!$AB$11+'TE CVA'!$AB$11)*1</f>
        <v>269.20939423802389</v>
      </c>
      <c r="AB136" s="6">
        <f>$K$136*$V$136</f>
        <v>0</v>
      </c>
      <c r="AC136" s="6">
        <f>$M$136*$W$136</f>
        <v>1266.15753</v>
      </c>
      <c r="AD136" s="6">
        <f>$O$136*$X$136</f>
        <v>606.9624</v>
      </c>
      <c r="AE136" s="6">
        <f>$K$136*$Y$136</f>
        <v>0</v>
      </c>
      <c r="AF136" s="6">
        <f ca="1">$M$136*$Z$136</f>
        <v>1329.2154827142851</v>
      </c>
      <c r="AG136" s="6">
        <f>$O$136*$AA$136</f>
        <v>737.36453081794741</v>
      </c>
    </row>
    <row r="137" spans="1:3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44470</v>
      </c>
      <c r="J137" s="6">
        <v>0</v>
      </c>
      <c r="K137" s="6">
        <v>0</v>
      </c>
      <c r="L137" s="6">
        <v>406.84899999999999</v>
      </c>
      <c r="M137" s="6">
        <v>406.84899999999999</v>
      </c>
      <c r="N137" s="6">
        <v>406.84899999999999</v>
      </c>
      <c r="O137" s="6">
        <v>406.84899999999999</v>
      </c>
      <c r="P137" s="6">
        <v>3261</v>
      </c>
      <c r="Q137" s="4" t="s">
        <v>26</v>
      </c>
      <c r="R137" s="4">
        <v>0</v>
      </c>
      <c r="S137" s="6">
        <v>0</v>
      </c>
      <c r="T137" s="6">
        <v>26</v>
      </c>
      <c r="U137" s="6">
        <v>57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462.27</v>
      </c>
      <c r="X137" s="6">
        <f>IF(ISERROR(VLOOKUP($U$137,'TAR FIN'!$A$1:$O$85,15,0)),0,VLOOKUP($U$137,'TAR FIN'!$A$1:$O$85,15,0))</f>
        <v>221.6</v>
      </c>
      <c r="Y137" s="6"/>
      <c r="Z137" s="6">
        <f ca="1">('TUSD BE'!$AM$20+'TUSD BF'!$AM$20+'TUSD CVA'!$AM$20)*1</f>
        <v>485.29225363792813</v>
      </c>
      <c r="AA137" s="6">
        <f>('TE BE'!$AB$11+'TE BF'!$AB$11+'TE CVA'!$AB$11)*1</f>
        <v>269.20939423802389</v>
      </c>
      <c r="AB137" s="6">
        <f>$K$137*$V$137</f>
        <v>0</v>
      </c>
      <c r="AC137" s="6">
        <f>$M$137*$W$137</f>
        <v>188074.08722999998</v>
      </c>
      <c r="AD137" s="6">
        <f>$O$137*$X$137</f>
        <v>90157.738400000002</v>
      </c>
      <c r="AE137" s="6">
        <f>$K$137*$Y$137</f>
        <v>0</v>
      </c>
      <c r="AF137" s="6">
        <f ca="1">$M$137*$Z$137</f>
        <v>197440.66810033741</v>
      </c>
      <c r="AG137" s="6">
        <f>$O$137*$AA$137</f>
        <v>109527.57283634577</v>
      </c>
    </row>
    <row r="138" spans="1:33" ht="11.25" customHeight="1" x14ac:dyDescent="0.3">
      <c r="A138" s="4" t="s">
        <v>27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44470</v>
      </c>
      <c r="J138" s="6">
        <v>0</v>
      </c>
      <c r="K138" s="6">
        <v>0</v>
      </c>
      <c r="L138" s="6">
        <v>-0.111</v>
      </c>
      <c r="M138" s="6">
        <v>-0.111</v>
      </c>
      <c r="N138" s="6">
        <v>-0.111</v>
      </c>
      <c r="O138" s="6">
        <v>-0.111</v>
      </c>
      <c r="P138" s="6">
        <v>0</v>
      </c>
      <c r="Q138" s="4" t="s">
        <v>26</v>
      </c>
      <c r="R138" s="4">
        <v>0</v>
      </c>
      <c r="S138" s="6">
        <v>0</v>
      </c>
      <c r="T138" s="6">
        <v>26</v>
      </c>
      <c r="U138" s="6">
        <v>57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462.27</v>
      </c>
      <c r="X138" s="6">
        <f>IF(ISERROR(VLOOKUP($U$138,'TAR FIN'!$A$1:$O$85,15,0)),0,VLOOKUP($U$138,'TAR FIN'!$A$1:$O$85,15,0))</f>
        <v>221.6</v>
      </c>
      <c r="Y138" s="6"/>
      <c r="Z138" s="6">
        <f ca="1">('TUSD BE'!$AM$20+'TUSD BF'!$AM$20+'TUSD CVA'!$AM$20)*1</f>
        <v>485.29225363792813</v>
      </c>
      <c r="AA138" s="6">
        <f>('TE BE'!$AB$11+'TE BF'!$AB$11+'TE CVA'!$AB$11)*1</f>
        <v>269.20939423802389</v>
      </c>
      <c r="AB138" s="6">
        <f>$K$138*$V$138</f>
        <v>0</v>
      </c>
      <c r="AC138" s="6">
        <f>$M$138*$W$138</f>
        <v>-51.311969999999995</v>
      </c>
      <c r="AD138" s="6">
        <f>$O$138*$X$138</f>
        <v>-24.5976</v>
      </c>
      <c r="AE138" s="6">
        <f>$K$138*$Y$138</f>
        <v>0</v>
      </c>
      <c r="AF138" s="6">
        <f ca="1">$M$138*$Z$138</f>
        <v>-53.867440153810023</v>
      </c>
      <c r="AG138" s="6">
        <f>$O$138*$AA$138</f>
        <v>-29.882242760420652</v>
      </c>
    </row>
    <row r="139" spans="1:33" ht="11.25" customHeight="1" x14ac:dyDescent="0.3">
      <c r="A139" s="4" t="s">
        <v>28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44470</v>
      </c>
      <c r="J139" s="6">
        <v>0</v>
      </c>
      <c r="K139" s="6">
        <v>0</v>
      </c>
      <c r="L139" s="6">
        <v>3.2170000000000001</v>
      </c>
      <c r="M139" s="6">
        <v>3.2170000000000001</v>
      </c>
      <c r="N139" s="6">
        <v>3.2170000000000001</v>
      </c>
      <c r="O139" s="6">
        <v>3.2170000000000001</v>
      </c>
      <c r="P139" s="6">
        <v>26</v>
      </c>
      <c r="Q139" s="4" t="s">
        <v>26</v>
      </c>
      <c r="R139" s="4">
        <v>0</v>
      </c>
      <c r="S139" s="6">
        <v>0</v>
      </c>
      <c r="T139" s="6">
        <v>26</v>
      </c>
      <c r="U139" s="6">
        <v>57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462.27</v>
      </c>
      <c r="X139" s="6">
        <f>IF(ISERROR(VLOOKUP($U$139,'TAR FIN'!$A$1:$O$85,15,0)),0,VLOOKUP($U$139,'TAR FIN'!$A$1:$O$85,15,0))</f>
        <v>221.6</v>
      </c>
      <c r="Y139" s="6"/>
      <c r="Z139" s="6">
        <f ca="1">('TUSD BE'!$AM$20+'TUSD BF'!$AM$20+'TUSD CVA'!$AM$20)*1</f>
        <v>485.29225363792813</v>
      </c>
      <c r="AA139" s="6">
        <f>('TE BE'!$AB$11+'TE BF'!$AB$11+'TE CVA'!$AB$11)*1</f>
        <v>269.20939423802389</v>
      </c>
      <c r="AB139" s="6">
        <f>$K$139*$V$139</f>
        <v>0</v>
      </c>
      <c r="AC139" s="6">
        <f>$M$139*$W$139</f>
        <v>1487.1225899999999</v>
      </c>
      <c r="AD139" s="6">
        <f>$O$139*$X$139</f>
        <v>712.88720000000001</v>
      </c>
      <c r="AE139" s="6">
        <f>$K$139*$Y$139</f>
        <v>0</v>
      </c>
      <c r="AF139" s="6">
        <f ca="1">$M$139*$Z$139</f>
        <v>1561.1851799532149</v>
      </c>
      <c r="AG139" s="6">
        <f>$O$139*$AA$139</f>
        <v>866.04662126372284</v>
      </c>
    </row>
    <row r="140" spans="1:33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44501</v>
      </c>
      <c r="J140" s="6">
        <v>0</v>
      </c>
      <c r="K140" s="6">
        <v>0</v>
      </c>
      <c r="L140" s="6">
        <v>430.00400000000002</v>
      </c>
      <c r="M140" s="6">
        <v>430.00400000000002</v>
      </c>
      <c r="N140" s="6">
        <v>430.00400000000002</v>
      </c>
      <c r="O140" s="6">
        <v>430.00400000000002</v>
      </c>
      <c r="P140" s="6">
        <v>3283</v>
      </c>
      <c r="Q140" s="4" t="s">
        <v>26</v>
      </c>
      <c r="R140" s="4">
        <v>0</v>
      </c>
      <c r="S140" s="6">
        <v>0</v>
      </c>
      <c r="T140" s="6">
        <v>26</v>
      </c>
      <c r="U140" s="6">
        <v>57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462.27</v>
      </c>
      <c r="X140" s="6">
        <f>IF(ISERROR(VLOOKUP($U$140,'TAR FIN'!$A$1:$O$85,15,0)),0,VLOOKUP($U$140,'TAR FIN'!$A$1:$O$85,15,0))</f>
        <v>221.6</v>
      </c>
      <c r="Y140" s="6"/>
      <c r="Z140" s="6">
        <f ca="1">('TUSD BE'!$AM$20+'TUSD BF'!$AM$20+'TUSD CVA'!$AM$20)*1</f>
        <v>485.29225363792813</v>
      </c>
      <c r="AA140" s="6">
        <f>('TE BE'!$AB$11+'TE BF'!$AB$11+'TE CVA'!$AB$11)*1</f>
        <v>269.20939423802389</v>
      </c>
      <c r="AB140" s="6">
        <f>$K$140*$V$140</f>
        <v>0</v>
      </c>
      <c r="AC140" s="6">
        <f>$M$140*$W$140</f>
        <v>198777.94907999999</v>
      </c>
      <c r="AD140" s="6">
        <f>$O$140*$X$140</f>
        <v>95288.886400000003</v>
      </c>
      <c r="AE140" s="6">
        <f>$K$140*$Y$140</f>
        <v>0</v>
      </c>
      <c r="AF140" s="6">
        <f ca="1">$M$140*$Z$140</f>
        <v>208677.61023332365</v>
      </c>
      <c r="AG140" s="6">
        <f>$O$140*$AA$140</f>
        <v>115761.11635992723</v>
      </c>
    </row>
    <row r="141" spans="1:33" ht="11.25" customHeight="1" x14ac:dyDescent="0.3">
      <c r="A141" s="4" t="s">
        <v>27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44501</v>
      </c>
      <c r="J141" s="6">
        <v>0</v>
      </c>
      <c r="K141" s="6">
        <v>0</v>
      </c>
      <c r="L141" s="6">
        <v>-1.139</v>
      </c>
      <c r="M141" s="6">
        <v>-1.139</v>
      </c>
      <c r="N141" s="6">
        <v>-1.139</v>
      </c>
      <c r="O141" s="6">
        <v>-1.139</v>
      </c>
      <c r="P141" s="6">
        <v>0</v>
      </c>
      <c r="Q141" s="4" t="s">
        <v>26</v>
      </c>
      <c r="R141" s="4">
        <v>0</v>
      </c>
      <c r="S141" s="6">
        <v>0</v>
      </c>
      <c r="T141" s="6">
        <v>26</v>
      </c>
      <c r="U141" s="6">
        <v>57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462.27</v>
      </c>
      <c r="X141" s="6">
        <f>IF(ISERROR(VLOOKUP($U$141,'TAR FIN'!$A$1:$O$85,15,0)),0,VLOOKUP($U$141,'TAR FIN'!$A$1:$O$85,15,0))</f>
        <v>221.6</v>
      </c>
      <c r="Y141" s="6"/>
      <c r="Z141" s="6">
        <f ca="1">('TUSD BE'!$AM$20+'TUSD BF'!$AM$20+'TUSD CVA'!$AM$20)*1</f>
        <v>485.29225363792813</v>
      </c>
      <c r="AA141" s="6">
        <f>('TE BE'!$AB$11+'TE BF'!$AB$11+'TE CVA'!$AB$11)*1</f>
        <v>269.20939423802389</v>
      </c>
      <c r="AB141" s="6">
        <f>$K$141*$V$141</f>
        <v>0</v>
      </c>
      <c r="AC141" s="6">
        <f>$M$141*$W$141</f>
        <v>-526.52553</v>
      </c>
      <c r="AD141" s="6">
        <f>$O$141*$X$141</f>
        <v>-252.4024</v>
      </c>
      <c r="AE141" s="6">
        <f>$K$141*$Y$141</f>
        <v>0</v>
      </c>
      <c r="AF141" s="6">
        <f ca="1">$M$141*$Z$141</f>
        <v>-552.74787689360016</v>
      </c>
      <c r="AG141" s="6">
        <f>$O$141*$AA$141</f>
        <v>-306.62950003710921</v>
      </c>
    </row>
    <row r="142" spans="1:33" ht="11.25" customHeight="1" x14ac:dyDescent="0.3">
      <c r="A142" s="4" t="s">
        <v>28</v>
      </c>
      <c r="B142" s="4" t="s">
        <v>22</v>
      </c>
      <c r="C142" s="4" t="s">
        <v>23</v>
      </c>
      <c r="D142" s="4" t="s">
        <v>24</v>
      </c>
      <c r="E142" s="4" t="s">
        <v>24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2.8260000000000001</v>
      </c>
      <c r="M142" s="6">
        <v>2.8260000000000001</v>
      </c>
      <c r="N142" s="6">
        <v>2.8260000000000001</v>
      </c>
      <c r="O142" s="6">
        <v>2.8260000000000001</v>
      </c>
      <c r="P142" s="6">
        <v>27</v>
      </c>
      <c r="Q142" s="4" t="s">
        <v>26</v>
      </c>
      <c r="R142" s="4">
        <v>0</v>
      </c>
      <c r="S142" s="6">
        <v>0</v>
      </c>
      <c r="T142" s="6">
        <v>26</v>
      </c>
      <c r="U142" s="6">
        <v>57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462.27</v>
      </c>
      <c r="X142" s="6">
        <f>IF(ISERROR(VLOOKUP($U$142,'TAR FIN'!$A$1:$O$85,15,0)),0,VLOOKUP($U$142,'TAR FIN'!$A$1:$O$85,15,0))</f>
        <v>221.6</v>
      </c>
      <c r="Y142" s="6"/>
      <c r="Z142" s="6">
        <f ca="1">('TUSD BE'!$AM$20+'TUSD BF'!$AM$20+'TUSD CVA'!$AM$20)*1</f>
        <v>485.29225363792813</v>
      </c>
      <c r="AA142" s="6">
        <f>('TE BE'!$AB$11+'TE BF'!$AB$11+'TE CVA'!$AB$11)*1</f>
        <v>269.20939423802389</v>
      </c>
      <c r="AB142" s="6">
        <f>$K$142*$V$142</f>
        <v>0</v>
      </c>
      <c r="AC142" s="6">
        <f>$M$142*$W$142</f>
        <v>1306.3750199999999</v>
      </c>
      <c r="AD142" s="6">
        <f>$O$142*$X$142</f>
        <v>626.24159999999995</v>
      </c>
      <c r="AE142" s="6">
        <f>$K$142*$Y$142</f>
        <v>0</v>
      </c>
      <c r="AF142" s="6">
        <f ca="1">$M$142*$Z$142</f>
        <v>1371.435908780785</v>
      </c>
      <c r="AG142" s="6">
        <f>$O$142*$AA$142</f>
        <v>760.78574811665555</v>
      </c>
    </row>
    <row r="143" spans="1:3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24</v>
      </c>
      <c r="F143" s="4" t="s">
        <v>25</v>
      </c>
      <c r="G143" s="4" t="s">
        <v>25</v>
      </c>
      <c r="H143" s="4" t="s">
        <v>25</v>
      </c>
      <c r="I143" s="5">
        <v>44531</v>
      </c>
      <c r="J143" s="6">
        <v>0</v>
      </c>
      <c r="K143" s="6">
        <v>0</v>
      </c>
      <c r="L143" s="6">
        <v>442.464</v>
      </c>
      <c r="M143" s="6">
        <v>442.464</v>
      </c>
      <c r="N143" s="6">
        <v>442.464</v>
      </c>
      <c r="O143" s="6">
        <v>442.464</v>
      </c>
      <c r="P143" s="6">
        <v>3261</v>
      </c>
      <c r="Q143" s="4" t="s">
        <v>26</v>
      </c>
      <c r="R143" s="4">
        <v>0</v>
      </c>
      <c r="S143" s="6">
        <v>0</v>
      </c>
      <c r="T143" s="6">
        <v>26</v>
      </c>
      <c r="U143" s="6">
        <v>57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462.27</v>
      </c>
      <c r="X143" s="6">
        <f>IF(ISERROR(VLOOKUP($U$143,'TAR FIN'!$A$1:$O$85,15,0)),0,VLOOKUP($U$143,'TAR FIN'!$A$1:$O$85,15,0))</f>
        <v>221.6</v>
      </c>
      <c r="Y143" s="6"/>
      <c r="Z143" s="6">
        <f ca="1">('TUSD BE'!$AM$20+'TUSD BF'!$AM$20+'TUSD CVA'!$AM$20)*1</f>
        <v>485.29225363792813</v>
      </c>
      <c r="AA143" s="6">
        <f>('TE BE'!$AB$11+'TE BF'!$AB$11+'TE CVA'!$AB$11)*1</f>
        <v>269.20939423802389</v>
      </c>
      <c r="AB143" s="6">
        <f>$K$143*$V$143</f>
        <v>0</v>
      </c>
      <c r="AC143" s="6">
        <f>$M$143*$W$143</f>
        <v>204537.83327999999</v>
      </c>
      <c r="AD143" s="6">
        <f>$O$143*$X$143</f>
        <v>98050.022400000002</v>
      </c>
      <c r="AE143" s="6">
        <f>$K$143*$Y$143</f>
        <v>0</v>
      </c>
      <c r="AF143" s="6">
        <f ca="1">$M$143*$Z$143</f>
        <v>214724.35171365223</v>
      </c>
      <c r="AG143" s="6">
        <f>$O$143*$AA$143</f>
        <v>119115.46541213299</v>
      </c>
    </row>
    <row r="144" spans="1:33" ht="11.25" customHeight="1" x14ac:dyDescent="0.3">
      <c r="A144" s="4" t="s">
        <v>27</v>
      </c>
      <c r="B144" s="4" t="s">
        <v>22</v>
      </c>
      <c r="C144" s="4" t="s">
        <v>23</v>
      </c>
      <c r="D144" s="4" t="s">
        <v>24</v>
      </c>
      <c r="E144" s="4" t="s">
        <v>24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1.28</v>
      </c>
      <c r="M144" s="6">
        <v>1.28</v>
      </c>
      <c r="N144" s="6">
        <v>1.28</v>
      </c>
      <c r="O144" s="6">
        <v>1.28</v>
      </c>
      <c r="P144" s="6">
        <v>0</v>
      </c>
      <c r="Q144" s="4" t="s">
        <v>26</v>
      </c>
      <c r="R144" s="4">
        <v>0</v>
      </c>
      <c r="S144" s="6">
        <v>0</v>
      </c>
      <c r="T144" s="6">
        <v>26</v>
      </c>
      <c r="U144" s="6">
        <v>57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462.27</v>
      </c>
      <c r="X144" s="6">
        <f>IF(ISERROR(VLOOKUP($U$144,'TAR FIN'!$A$1:$O$85,15,0)),0,VLOOKUP($U$144,'TAR FIN'!$A$1:$O$85,15,0))</f>
        <v>221.6</v>
      </c>
      <c r="Y144" s="6"/>
      <c r="Z144" s="6">
        <f ca="1">('TUSD BE'!$AM$20+'TUSD BF'!$AM$20+'TUSD CVA'!$AM$20)*1</f>
        <v>485.29225363792813</v>
      </c>
      <c r="AA144" s="6">
        <f>('TE BE'!$AB$11+'TE BF'!$AB$11+'TE CVA'!$AB$11)*1</f>
        <v>269.20939423802389</v>
      </c>
      <c r="AB144" s="6">
        <f>$K$144*$V$144</f>
        <v>0</v>
      </c>
      <c r="AC144" s="6">
        <f>$M$144*$W$144</f>
        <v>591.7056</v>
      </c>
      <c r="AD144" s="6">
        <f>$O$144*$X$144</f>
        <v>283.64800000000002</v>
      </c>
      <c r="AE144" s="6">
        <f>$K$144*$Y$144</f>
        <v>0</v>
      </c>
      <c r="AF144" s="6">
        <f ca="1">$M$144*$Z$144</f>
        <v>621.17408465654796</v>
      </c>
      <c r="AG144" s="6">
        <f>$O$144*$AA$144</f>
        <v>344.5880246246706</v>
      </c>
    </row>
    <row r="145" spans="1:33" ht="11.25" customHeight="1" x14ac:dyDescent="0.3">
      <c r="A145" s="4" t="s">
        <v>28</v>
      </c>
      <c r="B145" s="4" t="s">
        <v>22</v>
      </c>
      <c r="C145" s="4" t="s">
        <v>23</v>
      </c>
      <c r="D145" s="4" t="s">
        <v>24</v>
      </c>
      <c r="E145" s="4" t="s">
        <v>24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2.3849999999999998</v>
      </c>
      <c r="M145" s="6">
        <v>2.3849999999999998</v>
      </c>
      <c r="N145" s="6">
        <v>2.3849999999999998</v>
      </c>
      <c r="O145" s="6">
        <v>2.3849999999999998</v>
      </c>
      <c r="P145" s="6">
        <v>29</v>
      </c>
      <c r="Q145" s="4" t="s">
        <v>26</v>
      </c>
      <c r="R145" s="4">
        <v>0</v>
      </c>
      <c r="S145" s="6">
        <v>0</v>
      </c>
      <c r="T145" s="6">
        <v>26</v>
      </c>
      <c r="U145" s="6">
        <v>57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462.27</v>
      </c>
      <c r="X145" s="6">
        <f>IF(ISERROR(VLOOKUP($U$145,'TAR FIN'!$A$1:$O$85,15,0)),0,VLOOKUP($U$145,'TAR FIN'!$A$1:$O$85,15,0))</f>
        <v>221.6</v>
      </c>
      <c r="Y145" s="6"/>
      <c r="Z145" s="6">
        <f ca="1">('TUSD BE'!$AM$20+'TUSD BF'!$AM$20+'TUSD CVA'!$AM$20)*1</f>
        <v>485.29225363792813</v>
      </c>
      <c r="AA145" s="6">
        <f>('TE BE'!$AB$11+'TE BF'!$AB$11+'TE CVA'!$AB$11)*1</f>
        <v>269.20939423802389</v>
      </c>
      <c r="AB145" s="6">
        <f>$K$145*$V$145</f>
        <v>0</v>
      </c>
      <c r="AC145" s="6">
        <f>$M$145*$W$145</f>
        <v>1102.5139499999998</v>
      </c>
      <c r="AD145" s="6">
        <f>$O$145*$X$145</f>
        <v>528.51599999999996</v>
      </c>
      <c r="AE145" s="6">
        <f>$K$145*$Y$145</f>
        <v>0</v>
      </c>
      <c r="AF145" s="6">
        <f ca="1">$M$145*$Z$145</f>
        <v>1157.4220249264586</v>
      </c>
      <c r="AG145" s="6">
        <f>$O$145*$AA$145</f>
        <v>642.06440525768687</v>
      </c>
    </row>
    <row r="146" spans="1:3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541.529</v>
      </c>
      <c r="M146" s="6">
        <v>541.529</v>
      </c>
      <c r="N146" s="6">
        <v>541.529</v>
      </c>
      <c r="O146" s="6">
        <v>541.529</v>
      </c>
      <c r="P146" s="6">
        <v>3263</v>
      </c>
      <c r="Q146" s="4" t="s">
        <v>26</v>
      </c>
      <c r="R146" s="4">
        <v>0</v>
      </c>
      <c r="S146" s="6">
        <v>0</v>
      </c>
      <c r="T146" s="6">
        <v>26</v>
      </c>
      <c r="U146" s="6">
        <v>57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462.27</v>
      </c>
      <c r="X146" s="6">
        <f>IF(ISERROR(VLOOKUP($U$146,'TAR FIN'!$A$1:$O$85,15,0)),0,VLOOKUP($U$146,'TAR FIN'!$A$1:$O$85,15,0))</f>
        <v>221.6</v>
      </c>
      <c r="Y146" s="6"/>
      <c r="Z146" s="6">
        <f ca="1">('TUSD BE'!$AM$20+'TUSD BF'!$AM$20+'TUSD CVA'!$AM$20)*1</f>
        <v>485.29225363792813</v>
      </c>
      <c r="AA146" s="6">
        <f>('TE BE'!$AB$11+'TE BF'!$AB$11+'TE CVA'!$AB$11)*1</f>
        <v>269.20939423802389</v>
      </c>
      <c r="AB146" s="6">
        <f>$K$146*$V$146</f>
        <v>0</v>
      </c>
      <c r="AC146" s="6">
        <f>$M$146*$W$146</f>
        <v>250332.61082999999</v>
      </c>
      <c r="AD146" s="6">
        <f>$O$146*$X$146</f>
        <v>120002.82639999999</v>
      </c>
      <c r="AE146" s="6">
        <f>$K$146*$Y$146</f>
        <v>0</v>
      </c>
      <c r="AF146" s="6">
        <f ca="1">$M$146*$Z$146</f>
        <v>262799.82882029359</v>
      </c>
      <c r="AG146" s="6">
        <f>$O$146*$AA$146</f>
        <v>145784.69405232283</v>
      </c>
    </row>
    <row r="147" spans="1:33" ht="11.25" customHeight="1" x14ac:dyDescent="0.3">
      <c r="A147" s="4" t="s">
        <v>27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44562</v>
      </c>
      <c r="J147" s="6">
        <v>0</v>
      </c>
      <c r="K147" s="6">
        <v>0</v>
      </c>
      <c r="L147" s="6">
        <v>-0.48299999999999998</v>
      </c>
      <c r="M147" s="6">
        <v>-0.48299999999999998</v>
      </c>
      <c r="N147" s="6">
        <v>-0.48299999999999998</v>
      </c>
      <c r="O147" s="6">
        <v>-0.48299999999999998</v>
      </c>
      <c r="P147" s="6">
        <v>0</v>
      </c>
      <c r="Q147" s="4" t="s">
        <v>26</v>
      </c>
      <c r="R147" s="4">
        <v>0</v>
      </c>
      <c r="S147" s="6">
        <v>0</v>
      </c>
      <c r="T147" s="6">
        <v>26</v>
      </c>
      <c r="U147" s="6">
        <v>57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462.27</v>
      </c>
      <c r="X147" s="6">
        <f>IF(ISERROR(VLOOKUP($U$147,'TAR FIN'!$A$1:$O$85,15,0)),0,VLOOKUP($U$147,'TAR FIN'!$A$1:$O$85,15,0))</f>
        <v>221.6</v>
      </c>
      <c r="Y147" s="6"/>
      <c r="Z147" s="6">
        <f ca="1">('TUSD BE'!$AM$20+'TUSD BF'!$AM$20+'TUSD CVA'!$AM$20)*1</f>
        <v>485.29225363792813</v>
      </c>
      <c r="AA147" s="6">
        <f>('TE BE'!$AB$11+'TE BF'!$AB$11+'TE CVA'!$AB$11)*1</f>
        <v>269.20939423802389</v>
      </c>
      <c r="AB147" s="6">
        <f>$K$147*$V$147</f>
        <v>0</v>
      </c>
      <c r="AC147" s="6">
        <f>$M$147*$W$147</f>
        <v>-223.27640999999997</v>
      </c>
      <c r="AD147" s="6">
        <f>$O$147*$X$147</f>
        <v>-107.03279999999999</v>
      </c>
      <c r="AE147" s="6">
        <f>$K$147*$Y$147</f>
        <v>0</v>
      </c>
      <c r="AF147" s="6">
        <f ca="1">$M$147*$Z$147</f>
        <v>-234.39615850711928</v>
      </c>
      <c r="AG147" s="6">
        <f>$O$147*$AA$147</f>
        <v>-130.02813741696554</v>
      </c>
    </row>
    <row r="148" spans="1:33" ht="11.25" customHeight="1" x14ac:dyDescent="0.3">
      <c r="A148" s="4" t="s">
        <v>28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4.0149999999999997</v>
      </c>
      <c r="M148" s="6">
        <v>4.0149999999999997</v>
      </c>
      <c r="N148" s="6">
        <v>4.0149999999999997</v>
      </c>
      <c r="O148" s="6">
        <v>4.0149999999999997</v>
      </c>
      <c r="P148" s="6">
        <v>30</v>
      </c>
      <c r="Q148" s="4" t="s">
        <v>26</v>
      </c>
      <c r="R148" s="4">
        <v>0</v>
      </c>
      <c r="S148" s="6">
        <v>0</v>
      </c>
      <c r="T148" s="6">
        <v>26</v>
      </c>
      <c r="U148" s="6">
        <v>57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462.27</v>
      </c>
      <c r="X148" s="6">
        <f>IF(ISERROR(VLOOKUP($U$148,'TAR FIN'!$A$1:$O$85,15,0)),0,VLOOKUP($U$148,'TAR FIN'!$A$1:$O$85,15,0))</f>
        <v>221.6</v>
      </c>
      <c r="Y148" s="6"/>
      <c r="Z148" s="6">
        <f ca="1">('TUSD BE'!$AM$20+'TUSD BF'!$AM$20+'TUSD CVA'!$AM$20)*1</f>
        <v>485.29225363792813</v>
      </c>
      <c r="AA148" s="6">
        <f>('TE BE'!$AB$11+'TE BF'!$AB$11+'TE CVA'!$AB$11)*1</f>
        <v>269.20939423802389</v>
      </c>
      <c r="AB148" s="6">
        <f>$K$148*$V$148</f>
        <v>0</v>
      </c>
      <c r="AC148" s="6">
        <f>$M$148*$W$148</f>
        <v>1856.0140499999998</v>
      </c>
      <c r="AD148" s="6">
        <f>$O$148*$X$148</f>
        <v>889.72399999999993</v>
      </c>
      <c r="AE148" s="6">
        <f>$K$148*$Y$148</f>
        <v>0</v>
      </c>
      <c r="AF148" s="6">
        <f ca="1">$M$148*$Z$148</f>
        <v>1948.4483983562814</v>
      </c>
      <c r="AG148" s="6">
        <f>$O$148*$AA$148</f>
        <v>1080.8757178656658</v>
      </c>
    </row>
    <row r="149" spans="1:33" ht="11.25" customHeight="1" x14ac:dyDescent="0.3">
      <c r="A149" s="4" t="s">
        <v>28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0</v>
      </c>
      <c r="K149" s="6">
        <v>0</v>
      </c>
      <c r="L149" s="6">
        <v>-0.40899999999999997</v>
      </c>
      <c r="M149" s="6">
        <v>-0.40899999999999997</v>
      </c>
      <c r="N149" s="6">
        <v>-0.40899999999999997</v>
      </c>
      <c r="O149" s="6">
        <v>-0.40899999999999997</v>
      </c>
      <c r="P149" s="6">
        <v>2</v>
      </c>
      <c r="Q149" s="4" t="s">
        <v>26</v>
      </c>
      <c r="R149" s="4">
        <v>0</v>
      </c>
      <c r="S149" s="6">
        <v>0</v>
      </c>
      <c r="T149" s="6">
        <v>26</v>
      </c>
      <c r="U149" s="6">
        <v>57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462.27</v>
      </c>
      <c r="X149" s="6">
        <f>IF(ISERROR(VLOOKUP($U$149,'TAR FIN'!$A$1:$O$85,15,0)),0,VLOOKUP($U$149,'TAR FIN'!$A$1:$O$85,15,0))</f>
        <v>221.6</v>
      </c>
      <c r="Y149" s="6"/>
      <c r="Z149" s="6">
        <f ca="1">('TUSD BE'!$AM$20+'TUSD BF'!$AM$20+'TUSD CVA'!$AM$20)*1</f>
        <v>485.29225363792813</v>
      </c>
      <c r="AA149" s="6">
        <f>('TE BE'!$AB$11+'TE BF'!$AB$11+'TE CVA'!$AB$11)*1</f>
        <v>269.20939423802389</v>
      </c>
      <c r="AB149" s="6">
        <f>$K$149*$V$149</f>
        <v>0</v>
      </c>
      <c r="AC149" s="6">
        <f>$M$149*$W$149</f>
        <v>-189.06842999999998</v>
      </c>
      <c r="AD149" s="6">
        <f>$O$149*$X$149</f>
        <v>-90.634399999999985</v>
      </c>
      <c r="AE149" s="6">
        <f>$K$149*$Y$149</f>
        <v>0</v>
      </c>
      <c r="AF149" s="6">
        <f ca="1">$M$149*$Z$149</f>
        <v>-198.48453173791259</v>
      </c>
      <c r="AG149" s="6">
        <f>$O$149*$AA$149</f>
        <v>-110.10664224335176</v>
      </c>
    </row>
    <row r="150" spans="1:3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465.08600000000001</v>
      </c>
      <c r="M150" s="6">
        <v>465.08600000000001</v>
      </c>
      <c r="N150" s="6">
        <v>465.08600000000001</v>
      </c>
      <c r="O150" s="6">
        <v>465.08600000000001</v>
      </c>
      <c r="P150" s="6">
        <v>3276</v>
      </c>
      <c r="Q150" s="4" t="s">
        <v>26</v>
      </c>
      <c r="R150" s="4">
        <v>0</v>
      </c>
      <c r="S150" s="6">
        <v>0</v>
      </c>
      <c r="T150" s="6">
        <v>26</v>
      </c>
      <c r="U150" s="6">
        <v>57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462.27</v>
      </c>
      <c r="X150" s="6">
        <f>IF(ISERROR(VLOOKUP($U$150,'TAR FIN'!$A$1:$O$85,15,0)),0,VLOOKUP($U$150,'TAR FIN'!$A$1:$O$85,15,0))</f>
        <v>221.6</v>
      </c>
      <c r="Y150" s="6"/>
      <c r="Z150" s="6">
        <f ca="1">('TUSD BE'!$AM$20+'TUSD BF'!$AM$20+'TUSD CVA'!$AM$20)*1</f>
        <v>485.29225363792813</v>
      </c>
      <c r="AA150" s="6">
        <f>('TE BE'!$AB$11+'TE BF'!$AB$11+'TE CVA'!$AB$11)*1</f>
        <v>269.20939423802389</v>
      </c>
      <c r="AB150" s="6">
        <f>$K$150*$V$150</f>
        <v>0</v>
      </c>
      <c r="AC150" s="6">
        <f>$M$150*$W$150</f>
        <v>214995.30522000001</v>
      </c>
      <c r="AD150" s="6">
        <f>$O$150*$X$150</f>
        <v>103063.0576</v>
      </c>
      <c r="AE150" s="6">
        <f>$K$150*$Y$150</f>
        <v>0</v>
      </c>
      <c r="AF150" s="6">
        <f ca="1">$M$150*$Z$150</f>
        <v>225702.63307544944</v>
      </c>
      <c r="AG150" s="6">
        <f>$O$150*$AA$150</f>
        <v>125205.52032858558</v>
      </c>
    </row>
    <row r="151" spans="1:33" ht="11.25" customHeight="1" x14ac:dyDescent="0.3">
      <c r="A151" s="4" t="s">
        <v>27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-0.8</v>
      </c>
      <c r="M151" s="6">
        <v>-0.8</v>
      </c>
      <c r="N151" s="6">
        <v>-0.8</v>
      </c>
      <c r="O151" s="6">
        <v>-0.8</v>
      </c>
      <c r="P151" s="6">
        <v>0</v>
      </c>
      <c r="Q151" s="4" t="s">
        <v>26</v>
      </c>
      <c r="R151" s="4">
        <v>0</v>
      </c>
      <c r="S151" s="6">
        <v>0</v>
      </c>
      <c r="T151" s="6">
        <v>26</v>
      </c>
      <c r="U151" s="6">
        <v>57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462.27</v>
      </c>
      <c r="X151" s="6">
        <f>IF(ISERROR(VLOOKUP($U$151,'TAR FIN'!$A$1:$O$85,15,0)),0,VLOOKUP($U$151,'TAR FIN'!$A$1:$O$85,15,0))</f>
        <v>221.6</v>
      </c>
      <c r="Y151" s="6"/>
      <c r="Z151" s="6">
        <f ca="1">('TUSD BE'!$AM$20+'TUSD BF'!$AM$20+'TUSD CVA'!$AM$20)*1</f>
        <v>485.29225363792813</v>
      </c>
      <c r="AA151" s="6">
        <f>('TE BE'!$AB$11+'TE BF'!$AB$11+'TE CVA'!$AB$11)*1</f>
        <v>269.20939423802389</v>
      </c>
      <c r="AB151" s="6">
        <f>$K$151*$V$151</f>
        <v>0</v>
      </c>
      <c r="AC151" s="6">
        <f>$M$151*$W$151</f>
        <v>-369.81600000000003</v>
      </c>
      <c r="AD151" s="6">
        <f>$O$151*$X$151</f>
        <v>-177.28</v>
      </c>
      <c r="AE151" s="6">
        <f>$K$151*$Y$151</f>
        <v>0</v>
      </c>
      <c r="AF151" s="6">
        <f ca="1">$M$151*$Z$151</f>
        <v>-388.23380291034255</v>
      </c>
      <c r="AG151" s="6">
        <f>$O$151*$AA$151</f>
        <v>-215.36751539041913</v>
      </c>
    </row>
    <row r="152" spans="1:33" ht="11.25" customHeight="1" x14ac:dyDescent="0.3">
      <c r="A152" s="4" t="s">
        <v>28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3.8490000000000002</v>
      </c>
      <c r="M152" s="6">
        <v>3.8490000000000002</v>
      </c>
      <c r="N152" s="6">
        <v>3.8490000000000002</v>
      </c>
      <c r="O152" s="6">
        <v>3.8490000000000002</v>
      </c>
      <c r="P152" s="6">
        <v>32</v>
      </c>
      <c r="Q152" s="4" t="s">
        <v>26</v>
      </c>
      <c r="R152" s="4">
        <v>0</v>
      </c>
      <c r="S152" s="6">
        <v>0</v>
      </c>
      <c r="T152" s="6">
        <v>26</v>
      </c>
      <c r="U152" s="6">
        <v>57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462.27</v>
      </c>
      <c r="X152" s="6">
        <f>IF(ISERROR(VLOOKUP($U$152,'TAR FIN'!$A$1:$O$85,15,0)),0,VLOOKUP($U$152,'TAR FIN'!$A$1:$O$85,15,0))</f>
        <v>221.6</v>
      </c>
      <c r="Y152" s="6"/>
      <c r="Z152" s="6">
        <f ca="1">('TUSD BE'!$AM$20+'TUSD BF'!$AM$20+'TUSD CVA'!$AM$20)*1</f>
        <v>485.29225363792813</v>
      </c>
      <c r="AA152" s="6">
        <f>('TE BE'!$AB$11+'TE BF'!$AB$11+'TE CVA'!$AB$11)*1</f>
        <v>269.20939423802389</v>
      </c>
      <c r="AB152" s="6">
        <f>$K$152*$V$152</f>
        <v>0</v>
      </c>
      <c r="AC152" s="6">
        <f>$M$152*$W$152</f>
        <v>1779.2772299999999</v>
      </c>
      <c r="AD152" s="6">
        <f>$O$152*$X$152</f>
        <v>852.9384</v>
      </c>
      <c r="AE152" s="6">
        <f>$K$152*$Y$152</f>
        <v>0</v>
      </c>
      <c r="AF152" s="6">
        <f ca="1">$M$152*$Z$152</f>
        <v>1867.8898842523854</v>
      </c>
      <c r="AG152" s="6">
        <f>$O$152*$AA$152</f>
        <v>1036.186958422154</v>
      </c>
    </row>
    <row r="153" spans="1:3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501.85</v>
      </c>
      <c r="M153" s="6">
        <v>501.85</v>
      </c>
      <c r="N153" s="6">
        <v>501.85</v>
      </c>
      <c r="O153" s="6">
        <v>501.85</v>
      </c>
      <c r="P153" s="6">
        <v>3273</v>
      </c>
      <c r="Q153" s="4" t="s">
        <v>26</v>
      </c>
      <c r="R153" s="4">
        <v>0</v>
      </c>
      <c r="S153" s="6">
        <v>0</v>
      </c>
      <c r="T153" s="6">
        <v>26</v>
      </c>
      <c r="U153" s="6">
        <v>57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462.27</v>
      </c>
      <c r="X153" s="6">
        <f>IF(ISERROR(VLOOKUP($U$153,'TAR FIN'!$A$1:$O$85,15,0)),0,VLOOKUP($U$153,'TAR FIN'!$A$1:$O$85,15,0))</f>
        <v>221.6</v>
      </c>
      <c r="Y153" s="6"/>
      <c r="Z153" s="6">
        <f ca="1">('TUSD BE'!$AM$20+'TUSD BF'!$AM$20+'TUSD CVA'!$AM$20)*1</f>
        <v>485.29225363792813</v>
      </c>
      <c r="AA153" s="6">
        <f>('TE BE'!$AB$11+'TE BF'!$AB$11+'TE CVA'!$AB$11)*1</f>
        <v>269.20939423802389</v>
      </c>
      <c r="AB153" s="6">
        <f>$K$153*$V$153</f>
        <v>0</v>
      </c>
      <c r="AC153" s="6">
        <f>$M$153*$W$153</f>
        <v>231990.19949999999</v>
      </c>
      <c r="AD153" s="6">
        <f>$O$153*$X$153</f>
        <v>111209.96</v>
      </c>
      <c r="AE153" s="6">
        <f>$K$153*$Y$153</f>
        <v>0</v>
      </c>
      <c r="AF153" s="6">
        <f ca="1">$M$153*$Z$153</f>
        <v>243543.91748819425</v>
      </c>
      <c r="AG153" s="6">
        <f>$O$153*$AA$153</f>
        <v>135102.73449835231</v>
      </c>
    </row>
    <row r="154" spans="1:3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454.63400000000001</v>
      </c>
      <c r="M154" s="6">
        <v>454.63400000000001</v>
      </c>
      <c r="N154" s="6">
        <v>454.63400000000001</v>
      </c>
      <c r="O154" s="6">
        <v>454.63400000000001</v>
      </c>
      <c r="P154" s="6">
        <v>3280</v>
      </c>
      <c r="Q154" s="4" t="s">
        <v>26</v>
      </c>
      <c r="R154" s="4">
        <v>0</v>
      </c>
      <c r="S154" s="6">
        <v>0</v>
      </c>
      <c r="T154" s="6">
        <v>26</v>
      </c>
      <c r="U154" s="6">
        <v>57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462.27</v>
      </c>
      <c r="X154" s="6">
        <f>IF(ISERROR(VLOOKUP($U$154,'TAR FIN'!$A$1:$O$85,15,0)),0,VLOOKUP($U$154,'TAR FIN'!$A$1:$O$85,15,0))</f>
        <v>221.6</v>
      </c>
      <c r="Y154" s="6"/>
      <c r="Z154" s="6">
        <f ca="1">('TUSD BE'!$AM$20+'TUSD BF'!$AM$20+'TUSD CVA'!$AM$20)*1</f>
        <v>485.29225363792813</v>
      </c>
      <c r="AA154" s="6">
        <f>('TE BE'!$AB$11+'TE BF'!$AB$11+'TE CVA'!$AB$11)*1</f>
        <v>269.20939423802389</v>
      </c>
      <c r="AB154" s="6">
        <f>$K$154*$V$154</f>
        <v>0</v>
      </c>
      <c r="AC154" s="6">
        <f>$M$154*$W$154</f>
        <v>210163.65917999999</v>
      </c>
      <c r="AD154" s="6">
        <f>$O$154*$X$154</f>
        <v>100746.8944</v>
      </c>
      <c r="AE154" s="6">
        <f>$K$154*$Y$154</f>
        <v>0</v>
      </c>
      <c r="AF154" s="6">
        <f ca="1">$M$154*$Z$154</f>
        <v>220630.35844042583</v>
      </c>
      <c r="AG154" s="6">
        <f>$O$154*$AA$154</f>
        <v>122391.74374000976</v>
      </c>
    </row>
    <row r="155" spans="1:33" ht="11.25" customHeight="1" x14ac:dyDescent="0.3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44652</v>
      </c>
      <c r="J155" s="6">
        <v>0</v>
      </c>
      <c r="K155" s="6">
        <v>0</v>
      </c>
      <c r="L155" s="6">
        <v>-0.56000000000000005</v>
      </c>
      <c r="M155" s="6">
        <v>-0.56000000000000005</v>
      </c>
      <c r="N155" s="6">
        <v>-0.56000000000000005</v>
      </c>
      <c r="O155" s="6">
        <v>-0.56000000000000005</v>
      </c>
      <c r="P155" s="6">
        <v>0</v>
      </c>
      <c r="Q155" s="4" t="s">
        <v>26</v>
      </c>
      <c r="R155" s="4">
        <v>0</v>
      </c>
      <c r="S155" s="6">
        <v>0</v>
      </c>
      <c r="T155" s="6">
        <v>26</v>
      </c>
      <c r="U155" s="6">
        <v>57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462.27</v>
      </c>
      <c r="X155" s="6">
        <f>IF(ISERROR(VLOOKUP($U$155,'TAR FIN'!$A$1:$O$85,15,0)),0,VLOOKUP($U$155,'TAR FIN'!$A$1:$O$85,15,0))</f>
        <v>221.6</v>
      </c>
      <c r="Y155" s="6"/>
      <c r="Z155" s="6">
        <f ca="1">('TUSD BE'!$AM$20+'TUSD BF'!$AM$20+'TUSD CVA'!$AM$20)*1</f>
        <v>485.29225363792813</v>
      </c>
      <c r="AA155" s="6">
        <f>('TE BE'!$AB$11+'TE BF'!$AB$11+'TE CVA'!$AB$11)*1</f>
        <v>269.20939423802389</v>
      </c>
      <c r="AB155" s="6">
        <f>$K$155*$V$155</f>
        <v>0</v>
      </c>
      <c r="AC155" s="6">
        <f>$M$155*$W$155</f>
        <v>-258.87119999999999</v>
      </c>
      <c r="AD155" s="6">
        <f>$O$155*$X$155</f>
        <v>-124.096</v>
      </c>
      <c r="AE155" s="6">
        <f>$K$155*$Y$155</f>
        <v>0</v>
      </c>
      <c r="AF155" s="6">
        <f ca="1">$M$155*$Z$155</f>
        <v>-271.76366203723978</v>
      </c>
      <c r="AG155" s="6">
        <f>$O$155*$AA$155</f>
        <v>-150.75726077329338</v>
      </c>
    </row>
    <row r="156" spans="1:33" ht="11.25" customHeight="1" x14ac:dyDescent="0.3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44652</v>
      </c>
      <c r="J156" s="6">
        <v>0</v>
      </c>
      <c r="K156" s="6">
        <v>0</v>
      </c>
      <c r="L156" s="6">
        <v>4.4779999999999998</v>
      </c>
      <c r="M156" s="6">
        <v>4.4779999999999998</v>
      </c>
      <c r="N156" s="6">
        <v>4.4779999999999998</v>
      </c>
      <c r="O156" s="6">
        <v>4.4779999999999998</v>
      </c>
      <c r="P156" s="6">
        <v>36</v>
      </c>
      <c r="Q156" s="4" t="s">
        <v>26</v>
      </c>
      <c r="R156" s="4">
        <v>0</v>
      </c>
      <c r="S156" s="6">
        <v>0</v>
      </c>
      <c r="T156" s="6">
        <v>26</v>
      </c>
      <c r="U156" s="6">
        <v>57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462.27</v>
      </c>
      <c r="X156" s="6">
        <f>IF(ISERROR(VLOOKUP($U$156,'TAR FIN'!$A$1:$O$85,15,0)),0,VLOOKUP($U$156,'TAR FIN'!$A$1:$O$85,15,0))</f>
        <v>221.6</v>
      </c>
      <c r="Y156" s="6"/>
      <c r="Z156" s="6">
        <f ca="1">('TUSD BE'!$AM$20+'TUSD BF'!$AM$20+'TUSD CVA'!$AM$20)*1</f>
        <v>485.29225363792813</v>
      </c>
      <c r="AA156" s="6">
        <f>('TE BE'!$AB$11+'TE BF'!$AB$11+'TE CVA'!$AB$11)*1</f>
        <v>269.20939423802389</v>
      </c>
      <c r="AB156" s="6">
        <f>$K$156*$V$156</f>
        <v>0</v>
      </c>
      <c r="AC156" s="6">
        <f>$M$156*$W$156</f>
        <v>2070.0450599999999</v>
      </c>
      <c r="AD156" s="6">
        <f>$O$156*$X$156</f>
        <v>992.32479999999987</v>
      </c>
      <c r="AE156" s="6">
        <f>$K$156*$Y$156</f>
        <v>0</v>
      </c>
      <c r="AF156" s="6">
        <f ca="1">$M$156*$Z$156</f>
        <v>2173.138711790642</v>
      </c>
      <c r="AG156" s="6">
        <f>$O$156*$AA$156</f>
        <v>1205.519667397871</v>
      </c>
    </row>
    <row r="157" spans="1:3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44682</v>
      </c>
      <c r="J157" s="6">
        <v>0</v>
      </c>
      <c r="K157" s="6">
        <v>0</v>
      </c>
      <c r="L157" s="6">
        <v>414.59500000000003</v>
      </c>
      <c r="M157" s="6">
        <v>414.59500000000003</v>
      </c>
      <c r="N157" s="6">
        <v>414.59500000000003</v>
      </c>
      <c r="O157" s="6">
        <v>414.59500000000003</v>
      </c>
      <c r="P157" s="6">
        <v>3286</v>
      </c>
      <c r="Q157" s="4" t="s">
        <v>26</v>
      </c>
      <c r="R157" s="4">
        <v>0</v>
      </c>
      <c r="S157" s="6">
        <v>0</v>
      </c>
      <c r="T157" s="6">
        <v>26</v>
      </c>
      <c r="U157" s="6">
        <v>57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462.27</v>
      </c>
      <c r="X157" s="6">
        <f>IF(ISERROR(VLOOKUP($U$157,'TAR FIN'!$A$1:$O$85,15,0)),0,VLOOKUP($U$157,'TAR FIN'!$A$1:$O$85,15,0))</f>
        <v>221.6</v>
      </c>
      <c r="Y157" s="6"/>
      <c r="Z157" s="6">
        <f ca="1">('TUSD BE'!$AM$20+'TUSD BF'!$AM$20+'TUSD CVA'!$AM$20)*1</f>
        <v>485.29225363792813</v>
      </c>
      <c r="AA157" s="6">
        <f>('TE BE'!$AB$11+'TE BF'!$AB$11+'TE CVA'!$AB$11)*1</f>
        <v>269.20939423802389</v>
      </c>
      <c r="AB157" s="6">
        <f>$K$157*$V$157</f>
        <v>0</v>
      </c>
      <c r="AC157" s="6">
        <f>$M$157*$W$157</f>
        <v>191654.83065000002</v>
      </c>
      <c r="AD157" s="6">
        <f>$O$157*$X$157</f>
        <v>91874.252000000008</v>
      </c>
      <c r="AE157" s="6">
        <f>$K$157*$Y$157</f>
        <v>0</v>
      </c>
      <c r="AF157" s="6">
        <f ca="1">$M$157*$Z$157</f>
        <v>201199.74189701682</v>
      </c>
      <c r="AG157" s="6">
        <f>$O$157*$AA$157</f>
        <v>111612.86880411352</v>
      </c>
    </row>
    <row r="158" spans="1:33" ht="11.25" customHeight="1" x14ac:dyDescent="0.3">
      <c r="A158" s="4" t="s">
        <v>27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44682</v>
      </c>
      <c r="J158" s="6">
        <v>0</v>
      </c>
      <c r="K158" s="6">
        <v>0</v>
      </c>
      <c r="L158" s="6">
        <v>-1.095</v>
      </c>
      <c r="M158" s="6">
        <v>-1.095</v>
      </c>
      <c r="N158" s="6">
        <v>-1.095</v>
      </c>
      <c r="O158" s="6">
        <v>-1.095</v>
      </c>
      <c r="P158" s="6">
        <v>0</v>
      </c>
      <c r="Q158" s="4" t="s">
        <v>26</v>
      </c>
      <c r="R158" s="4">
        <v>0</v>
      </c>
      <c r="S158" s="6">
        <v>0</v>
      </c>
      <c r="T158" s="6">
        <v>26</v>
      </c>
      <c r="U158" s="6">
        <v>57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462.27</v>
      </c>
      <c r="X158" s="6">
        <f>IF(ISERROR(VLOOKUP($U$158,'TAR FIN'!$A$1:$O$85,15,0)),0,VLOOKUP($U$158,'TAR FIN'!$A$1:$O$85,15,0))</f>
        <v>221.6</v>
      </c>
      <c r="Y158" s="6"/>
      <c r="Z158" s="6">
        <f ca="1">('TUSD BE'!$AM$20+'TUSD BF'!$AM$20+'TUSD CVA'!$AM$20)*1</f>
        <v>485.29225363792813</v>
      </c>
      <c r="AA158" s="6">
        <f>('TE BE'!$AB$11+'TE BF'!$AB$11+'TE CVA'!$AB$11)*1</f>
        <v>269.20939423802389</v>
      </c>
      <c r="AB158" s="6">
        <f>$K$158*$V$158</f>
        <v>0</v>
      </c>
      <c r="AC158" s="6">
        <f>$M$158*$W$158</f>
        <v>-506.18564999999995</v>
      </c>
      <c r="AD158" s="6">
        <f>$O$158*$X$158</f>
        <v>-242.65199999999999</v>
      </c>
      <c r="AE158" s="6">
        <f>$K$158*$Y$158</f>
        <v>0</v>
      </c>
      <c r="AF158" s="6">
        <f ca="1">$M$158*$Z$158</f>
        <v>-531.39501773353129</v>
      </c>
      <c r="AG158" s="6">
        <f>$O$158*$AA$158</f>
        <v>-294.78428669063618</v>
      </c>
    </row>
    <row r="159" spans="1:33" ht="11.25" customHeight="1" x14ac:dyDescent="0.3">
      <c r="A159" s="4" t="s">
        <v>28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44682</v>
      </c>
      <c r="J159" s="6">
        <v>0</v>
      </c>
      <c r="K159" s="6">
        <v>0</v>
      </c>
      <c r="L159" s="6">
        <v>4.42</v>
      </c>
      <c r="M159" s="6">
        <v>4.42</v>
      </c>
      <c r="N159" s="6">
        <v>4.42</v>
      </c>
      <c r="O159" s="6">
        <v>4.42</v>
      </c>
      <c r="P159" s="6">
        <v>36</v>
      </c>
      <c r="Q159" s="4" t="s">
        <v>26</v>
      </c>
      <c r="R159" s="4">
        <v>0</v>
      </c>
      <c r="S159" s="6">
        <v>0</v>
      </c>
      <c r="T159" s="6">
        <v>26</v>
      </c>
      <c r="U159" s="6">
        <v>57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462.27</v>
      </c>
      <c r="X159" s="6">
        <f>IF(ISERROR(VLOOKUP($U$159,'TAR FIN'!$A$1:$O$85,15,0)),0,VLOOKUP($U$159,'TAR FIN'!$A$1:$O$85,15,0))</f>
        <v>221.6</v>
      </c>
      <c r="Y159" s="6"/>
      <c r="Z159" s="6">
        <f ca="1">('TUSD BE'!$AM$20+'TUSD BF'!$AM$20+'TUSD CVA'!$AM$20)*1</f>
        <v>485.29225363792813</v>
      </c>
      <c r="AA159" s="6">
        <f>('TE BE'!$AB$11+'TE BF'!$AB$11+'TE CVA'!$AB$11)*1</f>
        <v>269.20939423802389</v>
      </c>
      <c r="AB159" s="6">
        <f>$K$159*$V$159</f>
        <v>0</v>
      </c>
      <c r="AC159" s="6">
        <f>$M$159*$W$159</f>
        <v>2043.2333999999998</v>
      </c>
      <c r="AD159" s="6">
        <f>$O$159*$X$159</f>
        <v>979.47199999999998</v>
      </c>
      <c r="AE159" s="6">
        <f>$K$159*$Y$159</f>
        <v>0</v>
      </c>
      <c r="AF159" s="6">
        <f ca="1">$M$159*$Z$159</f>
        <v>2144.9917610796424</v>
      </c>
      <c r="AG159" s="6">
        <f>$O$159*$AA$159</f>
        <v>1189.9055225320656</v>
      </c>
    </row>
    <row r="160" spans="1:3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44713</v>
      </c>
      <c r="J160" s="6">
        <v>0</v>
      </c>
      <c r="K160" s="6">
        <v>0</v>
      </c>
      <c r="L160" s="6">
        <v>374.351</v>
      </c>
      <c r="M160" s="6">
        <v>374.351</v>
      </c>
      <c r="N160" s="6">
        <v>374.351</v>
      </c>
      <c r="O160" s="6">
        <v>374.351</v>
      </c>
      <c r="P160" s="6">
        <v>3173</v>
      </c>
      <c r="Q160" s="4" t="s">
        <v>26</v>
      </c>
      <c r="R160" s="4">
        <v>0</v>
      </c>
      <c r="S160" s="6">
        <v>0</v>
      </c>
      <c r="T160" s="6">
        <v>26</v>
      </c>
      <c r="U160" s="6">
        <v>57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462.27</v>
      </c>
      <c r="X160" s="6">
        <f>IF(ISERROR(VLOOKUP($U$160,'TAR FIN'!$A$1:$O$85,15,0)),0,VLOOKUP($U$160,'TAR FIN'!$A$1:$O$85,15,0))</f>
        <v>221.6</v>
      </c>
      <c r="Y160" s="6"/>
      <c r="Z160" s="6">
        <f ca="1">('TUSD BE'!$AM$20+'TUSD BF'!$AM$20+'TUSD CVA'!$AM$20)*1</f>
        <v>485.29225363792813</v>
      </c>
      <c r="AA160" s="6">
        <f>('TE BE'!$AB$11+'TE BF'!$AB$11+'TE CVA'!$AB$11)*1</f>
        <v>269.20939423802389</v>
      </c>
      <c r="AB160" s="6">
        <f>$K$160*$V$160</f>
        <v>0</v>
      </c>
      <c r="AC160" s="6">
        <f>$M$160*$W$160</f>
        <v>173051.23676999999</v>
      </c>
      <c r="AD160" s="6">
        <f>$O$160*$X$160</f>
        <v>82956.181599999996</v>
      </c>
      <c r="AE160" s="6">
        <f>$K$160*$Y$160</f>
        <v>0</v>
      </c>
      <c r="AF160" s="6">
        <f ca="1">$M$160*$Z$160</f>
        <v>181669.64044161202</v>
      </c>
      <c r="AG160" s="6">
        <f>$O$160*$AA$160</f>
        <v>100778.80594239848</v>
      </c>
    </row>
    <row r="161" spans="1:33" ht="11.25" customHeight="1" x14ac:dyDescent="0.3">
      <c r="A161" s="4" t="s">
        <v>27</v>
      </c>
      <c r="B161" s="4" t="s">
        <v>22</v>
      </c>
      <c r="C161" s="4" t="s">
        <v>23</v>
      </c>
      <c r="D161" s="4" t="s">
        <v>24</v>
      </c>
      <c r="E161" s="4" t="s">
        <v>24</v>
      </c>
      <c r="F161" s="4" t="s">
        <v>25</v>
      </c>
      <c r="G161" s="4" t="s">
        <v>25</v>
      </c>
      <c r="H161" s="4" t="s">
        <v>25</v>
      </c>
      <c r="I161" s="5">
        <v>44713</v>
      </c>
      <c r="J161" s="6">
        <v>0</v>
      </c>
      <c r="K161" s="6">
        <v>0</v>
      </c>
      <c r="L161" s="6">
        <v>-1.657</v>
      </c>
      <c r="M161" s="6">
        <v>-1.657</v>
      </c>
      <c r="N161" s="6">
        <v>-1.657</v>
      </c>
      <c r="O161" s="6">
        <v>-1.657</v>
      </c>
      <c r="P161" s="6">
        <v>0</v>
      </c>
      <c r="Q161" s="4" t="s">
        <v>26</v>
      </c>
      <c r="R161" s="4">
        <v>0</v>
      </c>
      <c r="S161" s="6">
        <v>0</v>
      </c>
      <c r="T161" s="6">
        <v>26</v>
      </c>
      <c r="U161" s="6">
        <v>57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462.27</v>
      </c>
      <c r="X161" s="6">
        <f>IF(ISERROR(VLOOKUP($U$161,'TAR FIN'!$A$1:$O$85,15,0)),0,VLOOKUP($U$161,'TAR FIN'!$A$1:$O$85,15,0))</f>
        <v>221.6</v>
      </c>
      <c r="Y161" s="6"/>
      <c r="Z161" s="6">
        <f ca="1">('TUSD BE'!$AM$20+'TUSD BF'!$AM$20+'TUSD CVA'!$AM$20)*1</f>
        <v>485.29225363792813</v>
      </c>
      <c r="AA161" s="6">
        <f>('TE BE'!$AB$11+'TE BF'!$AB$11+'TE CVA'!$AB$11)*1</f>
        <v>269.20939423802389</v>
      </c>
      <c r="AB161" s="6">
        <f>$K$161*$V$161</f>
        <v>0</v>
      </c>
      <c r="AC161" s="6">
        <f>$M$161*$W$161</f>
        <v>-765.98139000000003</v>
      </c>
      <c r="AD161" s="6">
        <f>$O$161*$X$161</f>
        <v>-367.19119999999998</v>
      </c>
      <c r="AE161" s="6">
        <f>$K$161*$Y$161</f>
        <v>0</v>
      </c>
      <c r="AF161" s="6">
        <f ca="1">$M$161*$Z$161</f>
        <v>-804.12926427804689</v>
      </c>
      <c r="AG161" s="6">
        <f>$O$161*$AA$161</f>
        <v>-446.0799662524056</v>
      </c>
    </row>
    <row r="162" spans="1:33" ht="11.25" customHeight="1" x14ac:dyDescent="0.3">
      <c r="A162" s="4" t="s">
        <v>28</v>
      </c>
      <c r="B162" s="4" t="s">
        <v>22</v>
      </c>
      <c r="C162" s="4" t="s">
        <v>23</v>
      </c>
      <c r="D162" s="4" t="s">
        <v>24</v>
      </c>
      <c r="E162" s="4" t="s">
        <v>24</v>
      </c>
      <c r="F162" s="4" t="s">
        <v>25</v>
      </c>
      <c r="G162" s="4" t="s">
        <v>25</v>
      </c>
      <c r="H162" s="4" t="s">
        <v>25</v>
      </c>
      <c r="I162" s="5">
        <v>44713</v>
      </c>
      <c r="J162" s="6">
        <v>0</v>
      </c>
      <c r="K162" s="6">
        <v>0</v>
      </c>
      <c r="L162" s="6">
        <v>4.8550000000000004</v>
      </c>
      <c r="M162" s="6">
        <v>4.8550000000000004</v>
      </c>
      <c r="N162" s="6">
        <v>4.8550000000000004</v>
      </c>
      <c r="O162" s="6">
        <v>4.8550000000000004</v>
      </c>
      <c r="P162" s="6">
        <v>36</v>
      </c>
      <c r="Q162" s="4" t="s">
        <v>26</v>
      </c>
      <c r="R162" s="4">
        <v>0</v>
      </c>
      <c r="S162" s="6">
        <v>0</v>
      </c>
      <c r="T162" s="6">
        <v>26</v>
      </c>
      <c r="U162" s="6">
        <v>57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462.27</v>
      </c>
      <c r="X162" s="6">
        <f>IF(ISERROR(VLOOKUP($U$162,'TAR FIN'!$A$1:$O$85,15,0)),0,VLOOKUP($U$162,'TAR FIN'!$A$1:$O$85,15,0))</f>
        <v>221.6</v>
      </c>
      <c r="Y162" s="6"/>
      <c r="Z162" s="6">
        <f ca="1">('TUSD BE'!$AM$20+'TUSD BF'!$AM$20+'TUSD CVA'!$AM$20)*1</f>
        <v>485.29225363792813</v>
      </c>
      <c r="AA162" s="6">
        <f>('TE BE'!$AB$11+'TE BF'!$AB$11+'TE CVA'!$AB$11)*1</f>
        <v>269.20939423802389</v>
      </c>
      <c r="AB162" s="6">
        <f>$K$162*$V$162</f>
        <v>0</v>
      </c>
      <c r="AC162" s="6">
        <f>$M$162*$W$162</f>
        <v>2244.3208500000001</v>
      </c>
      <c r="AD162" s="6">
        <f>$O$162*$X$162</f>
        <v>1075.8680000000002</v>
      </c>
      <c r="AE162" s="6">
        <f>$K$162*$Y$162</f>
        <v>0</v>
      </c>
      <c r="AF162" s="6">
        <f ca="1">$M$162*$Z$162</f>
        <v>2356.0938914121411</v>
      </c>
      <c r="AG162" s="6">
        <f>$O$162*$AA$162</f>
        <v>1307.011609025606</v>
      </c>
    </row>
    <row r="163" spans="1:33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24</v>
      </c>
      <c r="F163" s="4" t="s">
        <v>25</v>
      </c>
      <c r="G163" s="4" t="s">
        <v>25</v>
      </c>
      <c r="H163" s="4" t="s">
        <v>25</v>
      </c>
      <c r="I163" s="5">
        <v>44743</v>
      </c>
      <c r="J163" s="6">
        <v>0</v>
      </c>
      <c r="K163" s="6">
        <v>0</v>
      </c>
      <c r="L163" s="6">
        <v>391.23700000000002</v>
      </c>
      <c r="M163" s="6">
        <v>391.23700000000002</v>
      </c>
      <c r="N163" s="6">
        <v>391.23700000000002</v>
      </c>
      <c r="O163" s="6">
        <v>391.23700000000002</v>
      </c>
      <c r="P163" s="6">
        <v>3186</v>
      </c>
      <c r="Q163" s="4" t="s">
        <v>26</v>
      </c>
      <c r="R163" s="4">
        <v>0</v>
      </c>
      <c r="S163" s="6">
        <v>0</v>
      </c>
      <c r="T163" s="6">
        <v>26</v>
      </c>
      <c r="U163" s="6">
        <v>57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462.27</v>
      </c>
      <c r="X163" s="6">
        <f>IF(ISERROR(VLOOKUP($U$163,'TAR FIN'!$A$1:$O$85,15,0)),0,VLOOKUP($U$163,'TAR FIN'!$A$1:$O$85,15,0))</f>
        <v>221.6</v>
      </c>
      <c r="Y163" s="6"/>
      <c r="Z163" s="6">
        <f ca="1">('TUSD BE'!$AM$20+'TUSD BF'!$AM$20+'TUSD CVA'!$AM$20)*1</f>
        <v>485.29225363792813</v>
      </c>
      <c r="AA163" s="6">
        <f>('TE BE'!$AB$11+'TE BF'!$AB$11+'TE CVA'!$AB$11)*1</f>
        <v>269.20939423802389</v>
      </c>
      <c r="AB163" s="6">
        <f>$K$163*$V$163</f>
        <v>0</v>
      </c>
      <c r="AC163" s="6">
        <f>$M$163*$W$163</f>
        <v>180857.12799000001</v>
      </c>
      <c r="AD163" s="6">
        <f>$O$163*$X$163</f>
        <v>86698.119200000001</v>
      </c>
      <c r="AE163" s="6">
        <f>$K$163*$Y$163</f>
        <v>0</v>
      </c>
      <c r="AF163" s="6">
        <f ca="1">$M$163*$Z$163</f>
        <v>189864.28543654209</v>
      </c>
      <c r="AG163" s="6">
        <f>$O$163*$AA$163</f>
        <v>105324.67577350176</v>
      </c>
    </row>
    <row r="164" spans="1:33" ht="11.25" customHeight="1" x14ac:dyDescent="0.3">
      <c r="A164" s="4" t="s">
        <v>27</v>
      </c>
      <c r="B164" s="4" t="s">
        <v>22</v>
      </c>
      <c r="C164" s="4" t="s">
        <v>23</v>
      </c>
      <c r="D164" s="4" t="s">
        <v>24</v>
      </c>
      <c r="E164" s="4" t="s">
        <v>24</v>
      </c>
      <c r="F164" s="4" t="s">
        <v>25</v>
      </c>
      <c r="G164" s="4" t="s">
        <v>25</v>
      </c>
      <c r="H164" s="4" t="s">
        <v>25</v>
      </c>
      <c r="I164" s="5">
        <v>44743</v>
      </c>
      <c r="J164" s="6">
        <v>0</v>
      </c>
      <c r="K164" s="6">
        <v>0</v>
      </c>
      <c r="L164" s="6">
        <v>-0.378</v>
      </c>
      <c r="M164" s="6">
        <v>-0.378</v>
      </c>
      <c r="N164" s="6">
        <v>-0.378</v>
      </c>
      <c r="O164" s="6">
        <v>-0.378</v>
      </c>
      <c r="P164" s="6">
        <v>0</v>
      </c>
      <c r="Q164" s="4" t="s">
        <v>26</v>
      </c>
      <c r="R164" s="4">
        <v>0</v>
      </c>
      <c r="S164" s="6">
        <v>0</v>
      </c>
      <c r="T164" s="6">
        <v>26</v>
      </c>
      <c r="U164" s="6">
        <v>57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462.27</v>
      </c>
      <c r="X164" s="6">
        <f>IF(ISERROR(VLOOKUP($U$164,'TAR FIN'!$A$1:$O$85,15,0)),0,VLOOKUP($U$164,'TAR FIN'!$A$1:$O$85,15,0))</f>
        <v>221.6</v>
      </c>
      <c r="Y164" s="6"/>
      <c r="Z164" s="6">
        <f ca="1">('TUSD BE'!$AM$20+'TUSD BF'!$AM$20+'TUSD CVA'!$AM$20)*1</f>
        <v>485.29225363792813</v>
      </c>
      <c r="AA164" s="6">
        <f>('TE BE'!$AB$11+'TE BF'!$AB$11+'TE CVA'!$AB$11)*1</f>
        <v>269.20939423802389</v>
      </c>
      <c r="AB164" s="6">
        <f>$K$164*$V$164</f>
        <v>0</v>
      </c>
      <c r="AC164" s="6">
        <f>$M$164*$W$164</f>
        <v>-174.73805999999999</v>
      </c>
      <c r="AD164" s="6">
        <f>$O$164*$X$164</f>
        <v>-83.764799999999994</v>
      </c>
      <c r="AE164" s="6">
        <f>$K$164*$Y$164</f>
        <v>0</v>
      </c>
      <c r="AF164" s="6">
        <f ca="1">$M$164*$Z$164</f>
        <v>-183.44047187513684</v>
      </c>
      <c r="AG164" s="6">
        <f>$O$164*$AA$164</f>
        <v>-101.76115102197303</v>
      </c>
    </row>
    <row r="165" spans="1:33" ht="11.25" customHeight="1" x14ac:dyDescent="0.3">
      <c r="A165" s="4" t="s">
        <v>28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44743</v>
      </c>
      <c r="J165" s="6">
        <v>0</v>
      </c>
      <c r="K165" s="6">
        <v>0</v>
      </c>
      <c r="L165" s="6">
        <v>4.8810000000000002</v>
      </c>
      <c r="M165" s="6">
        <v>4.8810000000000002</v>
      </c>
      <c r="N165" s="6">
        <v>4.8810000000000002</v>
      </c>
      <c r="O165" s="6">
        <v>4.8810000000000002</v>
      </c>
      <c r="P165" s="6">
        <v>39</v>
      </c>
      <c r="Q165" s="4" t="s">
        <v>26</v>
      </c>
      <c r="R165" s="4">
        <v>0</v>
      </c>
      <c r="S165" s="6">
        <v>0</v>
      </c>
      <c r="T165" s="6">
        <v>26</v>
      </c>
      <c r="U165" s="6">
        <v>57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462.27</v>
      </c>
      <c r="X165" s="6">
        <f>IF(ISERROR(VLOOKUP($U$165,'TAR FIN'!$A$1:$O$85,15,0)),0,VLOOKUP($U$165,'TAR FIN'!$A$1:$O$85,15,0))</f>
        <v>221.6</v>
      </c>
      <c r="Y165" s="6"/>
      <c r="Z165" s="6">
        <f ca="1">('TUSD BE'!$AM$20+'TUSD BF'!$AM$20+'TUSD CVA'!$AM$20)*1</f>
        <v>485.29225363792813</v>
      </c>
      <c r="AA165" s="6">
        <f>('TE BE'!$AB$11+'TE BF'!$AB$11+'TE CVA'!$AB$11)*1</f>
        <v>269.20939423802389</v>
      </c>
      <c r="AB165" s="6">
        <f>$K$165*$V$165</f>
        <v>0</v>
      </c>
      <c r="AC165" s="6">
        <f>$M$165*$W$165</f>
        <v>2256.3398699999998</v>
      </c>
      <c r="AD165" s="6">
        <f>$O$165*$X$165</f>
        <v>1081.6296</v>
      </c>
      <c r="AE165" s="6">
        <f>$K$165*$Y$165</f>
        <v>0</v>
      </c>
      <c r="AF165" s="6">
        <f ca="1">$M$165*$Z$165</f>
        <v>2368.7114900067272</v>
      </c>
      <c r="AG165" s="6">
        <f>$O$165*$AA$165</f>
        <v>1314.0110532757947</v>
      </c>
    </row>
    <row r="166" spans="1:33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24</v>
      </c>
      <c r="F166" s="4" t="s">
        <v>25</v>
      </c>
      <c r="G166" s="4" t="s">
        <v>25</v>
      </c>
      <c r="H166" s="4" t="s">
        <v>25</v>
      </c>
      <c r="I166" s="5">
        <v>44774</v>
      </c>
      <c r="J166" s="6">
        <v>0</v>
      </c>
      <c r="K166" s="6">
        <v>0</v>
      </c>
      <c r="L166" s="6">
        <v>403.43799999999999</v>
      </c>
      <c r="M166" s="6">
        <v>403.43799999999999</v>
      </c>
      <c r="N166" s="6">
        <v>403.43799999999999</v>
      </c>
      <c r="O166" s="6">
        <v>403.43799999999999</v>
      </c>
      <c r="P166" s="6">
        <v>3283</v>
      </c>
      <c r="Q166" s="4" t="s">
        <v>26</v>
      </c>
      <c r="R166" s="4">
        <v>0</v>
      </c>
      <c r="S166" s="6">
        <v>0</v>
      </c>
      <c r="T166" s="6">
        <v>26</v>
      </c>
      <c r="U166" s="6">
        <v>57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462.27</v>
      </c>
      <c r="X166" s="6">
        <f>IF(ISERROR(VLOOKUP($U$166,'TAR FIN'!$A$1:$O$85,15,0)),0,VLOOKUP($U$166,'TAR FIN'!$A$1:$O$85,15,0))</f>
        <v>221.6</v>
      </c>
      <c r="Y166" s="6"/>
      <c r="Z166" s="6">
        <f ca="1">('TUSD BE'!$AM$20+'TUSD BF'!$AM$20+'TUSD CVA'!$AM$20)*1</f>
        <v>485.29225363792813</v>
      </c>
      <c r="AA166" s="6">
        <f>('TE BE'!$AB$11+'TE BF'!$AB$11+'TE CVA'!$AB$11)*1</f>
        <v>269.20939423802389</v>
      </c>
      <c r="AB166" s="6">
        <f>$K$166*$V$166</f>
        <v>0</v>
      </c>
      <c r="AC166" s="6">
        <f>$M$166*$W$166</f>
        <v>186497.28425999999</v>
      </c>
      <c r="AD166" s="6">
        <f>$O$166*$X$166</f>
        <v>89401.860799999995</v>
      </c>
      <c r="AE166" s="6">
        <f>$K$166*$Y$166</f>
        <v>0</v>
      </c>
      <c r="AF166" s="6">
        <f ca="1">$M$166*$Z$166</f>
        <v>195785.33622317846</v>
      </c>
      <c r="AG166" s="6">
        <f>$O$166*$AA$166</f>
        <v>108609.29959259988</v>
      </c>
    </row>
    <row r="167" spans="1:33" ht="11.25" customHeight="1" x14ac:dyDescent="0.3">
      <c r="A167" s="4" t="s">
        <v>27</v>
      </c>
      <c r="B167" s="4" t="s">
        <v>22</v>
      </c>
      <c r="C167" s="4" t="s">
        <v>23</v>
      </c>
      <c r="D167" s="4" t="s">
        <v>24</v>
      </c>
      <c r="E167" s="4" t="s">
        <v>24</v>
      </c>
      <c r="F167" s="4" t="s">
        <v>25</v>
      </c>
      <c r="G167" s="4" t="s">
        <v>25</v>
      </c>
      <c r="H167" s="4" t="s">
        <v>25</v>
      </c>
      <c r="I167" s="5">
        <v>44774</v>
      </c>
      <c r="J167" s="6">
        <v>0</v>
      </c>
      <c r="K167" s="6">
        <v>0</v>
      </c>
      <c r="L167" s="6">
        <v>-0.83899999999999997</v>
      </c>
      <c r="M167" s="6">
        <v>-0.83899999999999997</v>
      </c>
      <c r="N167" s="6">
        <v>-0.83899999999999997</v>
      </c>
      <c r="O167" s="6">
        <v>-0.83899999999999997</v>
      </c>
      <c r="P167" s="6">
        <v>0</v>
      </c>
      <c r="Q167" s="4" t="s">
        <v>26</v>
      </c>
      <c r="R167" s="4">
        <v>0</v>
      </c>
      <c r="S167" s="6">
        <v>0</v>
      </c>
      <c r="T167" s="6">
        <v>26</v>
      </c>
      <c r="U167" s="6">
        <v>57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462.27</v>
      </c>
      <c r="X167" s="6">
        <f>IF(ISERROR(VLOOKUP($U$167,'TAR FIN'!$A$1:$O$85,15,0)),0,VLOOKUP($U$167,'TAR FIN'!$A$1:$O$85,15,0))</f>
        <v>221.6</v>
      </c>
      <c r="Y167" s="6"/>
      <c r="Z167" s="6">
        <f ca="1">('TUSD BE'!$AM$20+'TUSD BF'!$AM$20+'TUSD CVA'!$AM$20)*1</f>
        <v>485.29225363792813</v>
      </c>
      <c r="AA167" s="6">
        <f>('TE BE'!$AB$11+'TE BF'!$AB$11+'TE CVA'!$AB$11)*1</f>
        <v>269.20939423802389</v>
      </c>
      <c r="AB167" s="6">
        <f>$K$167*$V$167</f>
        <v>0</v>
      </c>
      <c r="AC167" s="6">
        <f>$M$167*$W$167</f>
        <v>-387.84452999999996</v>
      </c>
      <c r="AD167" s="6">
        <f>$O$167*$X$167</f>
        <v>-185.92239999999998</v>
      </c>
      <c r="AE167" s="6">
        <f>$K$167*$Y$167</f>
        <v>0</v>
      </c>
      <c r="AF167" s="6">
        <f ca="1">$M$167*$Z$167</f>
        <v>-407.16020080222171</v>
      </c>
      <c r="AG167" s="6">
        <f>$O$167*$AA$167</f>
        <v>-225.86668176570203</v>
      </c>
    </row>
    <row r="168" spans="1:33" ht="11.25" customHeight="1" x14ac:dyDescent="0.3">
      <c r="A168" s="4" t="s">
        <v>28</v>
      </c>
      <c r="B168" s="4" t="s">
        <v>22</v>
      </c>
      <c r="C168" s="4" t="s">
        <v>23</v>
      </c>
      <c r="D168" s="4" t="s">
        <v>24</v>
      </c>
      <c r="E168" s="4" t="s">
        <v>24</v>
      </c>
      <c r="F168" s="4" t="s">
        <v>25</v>
      </c>
      <c r="G168" s="4" t="s">
        <v>25</v>
      </c>
      <c r="H168" s="4" t="s">
        <v>25</v>
      </c>
      <c r="I168" s="5">
        <v>44774</v>
      </c>
      <c r="J168" s="6">
        <v>0</v>
      </c>
      <c r="K168" s="6">
        <v>0</v>
      </c>
      <c r="L168" s="6">
        <v>4.7830000000000004</v>
      </c>
      <c r="M168" s="6">
        <v>4.7830000000000004</v>
      </c>
      <c r="N168" s="6">
        <v>4.7830000000000004</v>
      </c>
      <c r="O168" s="6">
        <v>4.7830000000000004</v>
      </c>
      <c r="P168" s="6">
        <v>41</v>
      </c>
      <c r="Q168" s="4" t="s">
        <v>26</v>
      </c>
      <c r="R168" s="4">
        <v>0</v>
      </c>
      <c r="S168" s="6">
        <v>0</v>
      </c>
      <c r="T168" s="6">
        <v>26</v>
      </c>
      <c r="U168" s="6">
        <v>57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462.27</v>
      </c>
      <c r="X168" s="6">
        <f>IF(ISERROR(VLOOKUP($U$168,'TAR FIN'!$A$1:$O$85,15,0)),0,VLOOKUP($U$168,'TAR FIN'!$A$1:$O$85,15,0))</f>
        <v>221.6</v>
      </c>
      <c r="Y168" s="6"/>
      <c r="Z168" s="6">
        <f ca="1">('TUSD BE'!$AM$20+'TUSD BF'!$AM$20+'TUSD CVA'!$AM$20)*1</f>
        <v>485.29225363792813</v>
      </c>
      <c r="AA168" s="6">
        <f>('TE BE'!$AB$11+'TE BF'!$AB$11+'TE CVA'!$AB$11)*1</f>
        <v>269.20939423802389</v>
      </c>
      <c r="AB168" s="6">
        <f>$K$168*$V$168</f>
        <v>0</v>
      </c>
      <c r="AC168" s="6">
        <f>$M$168*$W$168</f>
        <v>2211.0374099999999</v>
      </c>
      <c r="AD168" s="6">
        <f>$O$168*$X$168</f>
        <v>1059.9128000000001</v>
      </c>
      <c r="AE168" s="6">
        <f>$K$168*$Y$168</f>
        <v>0</v>
      </c>
      <c r="AF168" s="6">
        <f ca="1">$M$168*$Z$168</f>
        <v>2321.1528491502104</v>
      </c>
      <c r="AG168" s="6">
        <f>$O$168*$AA$168</f>
        <v>1287.6285326404684</v>
      </c>
    </row>
    <row r="169" spans="1:33" ht="11.25" customHeight="1" x14ac:dyDescent="0.3">
      <c r="A169" s="4" t="s">
        <v>28</v>
      </c>
      <c r="B169" s="4" t="s">
        <v>22</v>
      </c>
      <c r="C169" s="4" t="s">
        <v>23</v>
      </c>
      <c r="D169" s="4" t="s">
        <v>24</v>
      </c>
      <c r="E169" s="4" t="s">
        <v>24</v>
      </c>
      <c r="F169" s="4" t="s">
        <v>25</v>
      </c>
      <c r="G169" s="4" t="s">
        <v>25</v>
      </c>
      <c r="H169" s="4" t="s">
        <v>25</v>
      </c>
      <c r="I169" s="5">
        <v>44774</v>
      </c>
      <c r="J169" s="6">
        <v>0</v>
      </c>
      <c r="K169" s="6">
        <v>0</v>
      </c>
      <c r="L169" s="6">
        <v>-0.55300000000000005</v>
      </c>
      <c r="M169" s="6">
        <v>-0.55300000000000005</v>
      </c>
      <c r="N169" s="6">
        <v>-0.55300000000000005</v>
      </c>
      <c r="O169" s="6">
        <v>-0.55300000000000005</v>
      </c>
      <c r="P169" s="6">
        <v>5</v>
      </c>
      <c r="Q169" s="4" t="s">
        <v>26</v>
      </c>
      <c r="R169" s="4">
        <v>0</v>
      </c>
      <c r="S169" s="6">
        <v>0</v>
      </c>
      <c r="T169" s="6">
        <v>26</v>
      </c>
      <c r="U169" s="6">
        <v>57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462.27</v>
      </c>
      <c r="X169" s="6">
        <f>IF(ISERROR(VLOOKUP($U$169,'TAR FIN'!$A$1:$O$85,15,0)),0,VLOOKUP($U$169,'TAR FIN'!$A$1:$O$85,15,0))</f>
        <v>221.6</v>
      </c>
      <c r="Y169" s="6"/>
      <c r="Z169" s="6">
        <f ca="1">('TUSD BE'!$AM$20+'TUSD BF'!$AM$20+'TUSD CVA'!$AM$20)*1</f>
        <v>485.29225363792813</v>
      </c>
      <c r="AA169" s="6">
        <f>('TE BE'!$AB$11+'TE BF'!$AB$11+'TE CVA'!$AB$11)*1</f>
        <v>269.20939423802389</v>
      </c>
      <c r="AB169" s="6">
        <f>$K$169*$V$169</f>
        <v>0</v>
      </c>
      <c r="AC169" s="6">
        <f>$M$169*$W$169</f>
        <v>-255.63531</v>
      </c>
      <c r="AD169" s="6">
        <f>$O$169*$X$169</f>
        <v>-122.54480000000001</v>
      </c>
      <c r="AE169" s="6">
        <f>$K$169*$Y$169</f>
        <v>0</v>
      </c>
      <c r="AF169" s="6">
        <f ca="1">$M$169*$Z$169</f>
        <v>-268.36661626177425</v>
      </c>
      <c r="AG169" s="6">
        <f>$O$169*$AA$169</f>
        <v>-148.87279501362721</v>
      </c>
    </row>
    <row r="170" spans="1:33" ht="11.25" customHeight="1" x14ac:dyDescent="0.3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29</v>
      </c>
      <c r="F170" s="4" t="s">
        <v>25</v>
      </c>
      <c r="G170" s="4" t="s">
        <v>25</v>
      </c>
      <c r="H170" s="4" t="s">
        <v>25</v>
      </c>
      <c r="I170" s="5">
        <v>44440</v>
      </c>
      <c r="J170" s="6">
        <v>0</v>
      </c>
      <c r="K170" s="6">
        <v>0</v>
      </c>
      <c r="L170" s="6">
        <v>3.63</v>
      </c>
      <c r="M170" s="6">
        <v>3.63</v>
      </c>
      <c r="N170" s="6">
        <v>3.63</v>
      </c>
      <c r="O170" s="6">
        <v>3.63</v>
      </c>
      <c r="P170" s="6">
        <v>0</v>
      </c>
      <c r="Q170" s="4" t="s">
        <v>26</v>
      </c>
      <c r="R170" s="4">
        <v>0</v>
      </c>
      <c r="S170" s="6">
        <v>0</v>
      </c>
      <c r="T170" s="6">
        <v>31</v>
      </c>
      <c r="U170" s="6">
        <v>78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128.82</v>
      </c>
      <c r="X170" s="6">
        <f>IF(ISERROR(VLOOKUP($U$170,'TAR FIN'!$A$1:$O$85,15,0)),0,VLOOKUP($U$170,'TAR FIN'!$A$1:$O$85,15,0))</f>
        <v>77.56</v>
      </c>
      <c r="Y170" s="6"/>
      <c r="Z170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0" s="6">
        <f>('TE BE'!$AB$12+'TE BF'!$AB$12+'TE CVA'!$AB$12)*(1-CUSTOS!$M$34)</f>
        <v>94.223287983308353</v>
      </c>
      <c r="AB170" s="6">
        <f>$K$170*$V$170</f>
        <v>0</v>
      </c>
      <c r="AC170" s="6">
        <f>$M$170*$W$170</f>
        <v>467.61659999999995</v>
      </c>
      <c r="AD170" s="6">
        <f>$O$170*$X$170</f>
        <v>281.5428</v>
      </c>
      <c r="AE170" s="6">
        <f>$K$170*$Y$170</f>
        <v>0</v>
      </c>
      <c r="AF170" s="6">
        <f ca="1">$M$170*$Z$170</f>
        <v>447.20537240949488</v>
      </c>
      <c r="AG170" s="6">
        <f>$O$170*$AA$170</f>
        <v>342.03053537940929</v>
      </c>
    </row>
    <row r="171" spans="1:33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29</v>
      </c>
      <c r="F171" s="4" t="s">
        <v>25</v>
      </c>
      <c r="G171" s="4" t="s">
        <v>25</v>
      </c>
      <c r="H171" s="4" t="s">
        <v>25</v>
      </c>
      <c r="I171" s="5">
        <v>44470</v>
      </c>
      <c r="J171" s="6">
        <v>0</v>
      </c>
      <c r="K171" s="6">
        <v>0</v>
      </c>
      <c r="L171" s="6">
        <v>3.63</v>
      </c>
      <c r="M171" s="6">
        <v>3.63</v>
      </c>
      <c r="N171" s="6">
        <v>3.63</v>
      </c>
      <c r="O171" s="6">
        <v>3.63</v>
      </c>
      <c r="P171" s="6">
        <v>0</v>
      </c>
      <c r="Q171" s="4" t="s">
        <v>26</v>
      </c>
      <c r="R171" s="4">
        <v>0</v>
      </c>
      <c r="S171" s="6">
        <v>0</v>
      </c>
      <c r="T171" s="6">
        <v>31</v>
      </c>
      <c r="U171" s="6">
        <v>78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128.82</v>
      </c>
      <c r="X171" s="6">
        <f>IF(ISERROR(VLOOKUP($U$171,'TAR FIN'!$A$1:$O$85,15,0)),0,VLOOKUP($U$171,'TAR FIN'!$A$1:$O$85,15,0))</f>
        <v>77.56</v>
      </c>
      <c r="Y171" s="6"/>
      <c r="Z171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1" s="6">
        <f>('TE BE'!$AB$12+'TE BF'!$AB$12+'TE CVA'!$AB$12)*(1-CUSTOS!$M$34)</f>
        <v>94.223287983308353</v>
      </c>
      <c r="AB171" s="6">
        <f>$K$171*$V$171</f>
        <v>0</v>
      </c>
      <c r="AC171" s="6">
        <f>$M$171*$W$171</f>
        <v>467.61659999999995</v>
      </c>
      <c r="AD171" s="6">
        <f>$O$171*$X$171</f>
        <v>281.5428</v>
      </c>
      <c r="AE171" s="6">
        <f>$K$171*$Y$171</f>
        <v>0</v>
      </c>
      <c r="AF171" s="6">
        <f ca="1">$M$171*$Z$171</f>
        <v>447.20537240949488</v>
      </c>
      <c r="AG171" s="6">
        <f>$O$171*$AA$171</f>
        <v>342.03053537940929</v>
      </c>
    </row>
    <row r="172" spans="1:33" ht="11.25" customHeight="1" x14ac:dyDescent="0.3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29</v>
      </c>
      <c r="F172" s="4" t="s">
        <v>25</v>
      </c>
      <c r="G172" s="4" t="s">
        <v>25</v>
      </c>
      <c r="H172" s="4" t="s">
        <v>25</v>
      </c>
      <c r="I172" s="5">
        <v>44501</v>
      </c>
      <c r="J172" s="6">
        <v>0</v>
      </c>
      <c r="K172" s="6">
        <v>0</v>
      </c>
      <c r="L172" s="6">
        <v>3.6</v>
      </c>
      <c r="M172" s="6">
        <v>3.6</v>
      </c>
      <c r="N172" s="6">
        <v>3.6</v>
      </c>
      <c r="O172" s="6">
        <v>3.6</v>
      </c>
      <c r="P172" s="6">
        <v>0</v>
      </c>
      <c r="Q172" s="4" t="s">
        <v>26</v>
      </c>
      <c r="R172" s="4">
        <v>0</v>
      </c>
      <c r="S172" s="6">
        <v>0</v>
      </c>
      <c r="T172" s="6">
        <v>31</v>
      </c>
      <c r="U172" s="6">
        <v>78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128.82</v>
      </c>
      <c r="X172" s="6">
        <f>IF(ISERROR(VLOOKUP($U$172,'TAR FIN'!$A$1:$O$85,15,0)),0,VLOOKUP($U$172,'TAR FIN'!$A$1:$O$85,15,0))</f>
        <v>77.56</v>
      </c>
      <c r="Y172" s="6"/>
      <c r="Z172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2" s="6">
        <f>('TE BE'!$AB$12+'TE BF'!$AB$12+'TE CVA'!$AB$12)*(1-CUSTOS!$M$34)</f>
        <v>94.223287983308353</v>
      </c>
      <c r="AB172" s="6">
        <f>$K$172*$V$172</f>
        <v>0</v>
      </c>
      <c r="AC172" s="6">
        <f>$M$172*$W$172</f>
        <v>463.75200000000001</v>
      </c>
      <c r="AD172" s="6">
        <f>$O$172*$X$172</f>
        <v>279.21600000000001</v>
      </c>
      <c r="AE172" s="6">
        <f>$K$172*$Y$172</f>
        <v>0</v>
      </c>
      <c r="AF172" s="6">
        <f ca="1">$M$172*$Z$172</f>
        <v>443.5094602408214</v>
      </c>
      <c r="AG172" s="6">
        <f>$O$172*$AA$172</f>
        <v>339.20383673991006</v>
      </c>
    </row>
    <row r="173" spans="1:33" ht="11.25" customHeight="1" x14ac:dyDescent="0.3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29</v>
      </c>
      <c r="F173" s="4" t="s">
        <v>25</v>
      </c>
      <c r="G173" s="4" t="s">
        <v>25</v>
      </c>
      <c r="H173" s="4" t="s">
        <v>25</v>
      </c>
      <c r="I173" s="5">
        <v>44531</v>
      </c>
      <c r="J173" s="6">
        <v>0</v>
      </c>
      <c r="K173" s="6">
        <v>0</v>
      </c>
      <c r="L173" s="6">
        <v>3.66</v>
      </c>
      <c r="M173" s="6">
        <v>3.66</v>
      </c>
      <c r="N173" s="6">
        <v>3.66</v>
      </c>
      <c r="O173" s="6">
        <v>3.66</v>
      </c>
      <c r="P173" s="6">
        <v>0</v>
      </c>
      <c r="Q173" s="4" t="s">
        <v>26</v>
      </c>
      <c r="R173" s="4">
        <v>0</v>
      </c>
      <c r="S173" s="6">
        <v>0</v>
      </c>
      <c r="T173" s="6">
        <v>31</v>
      </c>
      <c r="U173" s="6">
        <v>78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128.82</v>
      </c>
      <c r="X173" s="6">
        <f>IF(ISERROR(VLOOKUP($U$173,'TAR FIN'!$A$1:$O$85,15,0)),0,VLOOKUP($U$173,'TAR FIN'!$A$1:$O$85,15,0))</f>
        <v>77.56</v>
      </c>
      <c r="Y173" s="6"/>
      <c r="Z173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3" s="6">
        <f>('TE BE'!$AB$12+'TE BF'!$AB$12+'TE CVA'!$AB$12)*(1-CUSTOS!$M$34)</f>
        <v>94.223287983308353</v>
      </c>
      <c r="AB173" s="6">
        <f>$K$173*$V$173</f>
        <v>0</v>
      </c>
      <c r="AC173" s="6">
        <f>$M$173*$W$173</f>
        <v>471.4812</v>
      </c>
      <c r="AD173" s="6">
        <f>$O$173*$X$173</f>
        <v>283.86959999999999</v>
      </c>
      <c r="AE173" s="6">
        <f>$K$173*$Y$173</f>
        <v>0</v>
      </c>
      <c r="AF173" s="6">
        <f ca="1">$M$173*$Z$173</f>
        <v>450.90128457816843</v>
      </c>
      <c r="AG173" s="6">
        <f>$O$173*$AA$173</f>
        <v>344.85723401890857</v>
      </c>
    </row>
    <row r="174" spans="1:33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29</v>
      </c>
      <c r="F174" s="4" t="s">
        <v>25</v>
      </c>
      <c r="G174" s="4" t="s">
        <v>25</v>
      </c>
      <c r="H174" s="4" t="s">
        <v>25</v>
      </c>
      <c r="I174" s="5">
        <v>44562</v>
      </c>
      <c r="J174" s="6">
        <v>0</v>
      </c>
      <c r="K174" s="6">
        <v>0</v>
      </c>
      <c r="L174" s="6">
        <v>3.6</v>
      </c>
      <c r="M174" s="6">
        <v>3.6</v>
      </c>
      <c r="N174" s="6">
        <v>3.6</v>
      </c>
      <c r="O174" s="6">
        <v>3.6</v>
      </c>
      <c r="P174" s="6">
        <v>0</v>
      </c>
      <c r="Q174" s="4" t="s">
        <v>26</v>
      </c>
      <c r="R174" s="4">
        <v>0</v>
      </c>
      <c r="S174" s="6">
        <v>0</v>
      </c>
      <c r="T174" s="6">
        <v>31</v>
      </c>
      <c r="U174" s="6">
        <v>78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128.82</v>
      </c>
      <c r="X174" s="6">
        <f>IF(ISERROR(VLOOKUP($U$174,'TAR FIN'!$A$1:$O$85,15,0)),0,VLOOKUP($U$174,'TAR FIN'!$A$1:$O$85,15,0))</f>
        <v>77.56</v>
      </c>
      <c r="Y174" s="6"/>
      <c r="Z174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4" s="6">
        <f>('TE BE'!$AB$12+'TE BF'!$AB$12+'TE CVA'!$AB$12)*(1-CUSTOS!$M$34)</f>
        <v>94.223287983308353</v>
      </c>
      <c r="AB174" s="6">
        <f>$K$174*$V$174</f>
        <v>0</v>
      </c>
      <c r="AC174" s="6">
        <f>$M$174*$W$174</f>
        <v>463.75200000000001</v>
      </c>
      <c r="AD174" s="6">
        <f>$O$174*$X$174</f>
        <v>279.21600000000001</v>
      </c>
      <c r="AE174" s="6">
        <f>$K$174*$Y$174</f>
        <v>0</v>
      </c>
      <c r="AF174" s="6">
        <f ca="1">$M$174*$Z$174</f>
        <v>443.5094602408214</v>
      </c>
      <c r="AG174" s="6">
        <f>$O$174*$AA$174</f>
        <v>339.20383673991006</v>
      </c>
    </row>
    <row r="175" spans="1:33" ht="11.25" customHeight="1" x14ac:dyDescent="0.3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29</v>
      </c>
      <c r="F175" s="4" t="s">
        <v>25</v>
      </c>
      <c r="G175" s="4" t="s">
        <v>25</v>
      </c>
      <c r="H175" s="4" t="s">
        <v>25</v>
      </c>
      <c r="I175" s="5">
        <v>44593</v>
      </c>
      <c r="J175" s="6">
        <v>0</v>
      </c>
      <c r="K175" s="6">
        <v>0</v>
      </c>
      <c r="L175" s="6">
        <v>3.72</v>
      </c>
      <c r="M175" s="6">
        <v>3.72</v>
      </c>
      <c r="N175" s="6">
        <v>3.72</v>
      </c>
      <c r="O175" s="6">
        <v>3.72</v>
      </c>
      <c r="P175" s="6">
        <v>1</v>
      </c>
      <c r="Q175" s="4" t="s">
        <v>26</v>
      </c>
      <c r="R175" s="4">
        <v>0</v>
      </c>
      <c r="S175" s="6">
        <v>0</v>
      </c>
      <c r="T175" s="6">
        <v>31</v>
      </c>
      <c r="U175" s="6">
        <v>78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128.82</v>
      </c>
      <c r="X175" s="6">
        <f>IF(ISERROR(VLOOKUP($U$175,'TAR FIN'!$A$1:$O$85,15,0)),0,VLOOKUP($U$175,'TAR FIN'!$A$1:$O$85,15,0))</f>
        <v>77.56</v>
      </c>
      <c r="Y175" s="6"/>
      <c r="Z175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5" s="6">
        <f>('TE BE'!$AB$12+'TE BF'!$AB$12+'TE CVA'!$AB$12)*(1-CUSTOS!$M$34)</f>
        <v>94.223287983308353</v>
      </c>
      <c r="AB175" s="6">
        <f>$K$175*$V$175</f>
        <v>0</v>
      </c>
      <c r="AC175" s="6">
        <f>$M$175*$W$175</f>
        <v>479.21039999999999</v>
      </c>
      <c r="AD175" s="6">
        <f>$O$175*$X$175</f>
        <v>288.52320000000003</v>
      </c>
      <c r="AE175" s="6">
        <f>$K$175*$Y$175</f>
        <v>0</v>
      </c>
      <c r="AF175" s="6">
        <f ca="1">$M$175*$Z$175</f>
        <v>458.29310891551546</v>
      </c>
      <c r="AG175" s="6">
        <f>$O$175*$AA$175</f>
        <v>350.51063129790708</v>
      </c>
    </row>
    <row r="176" spans="1:33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29</v>
      </c>
      <c r="F176" s="4" t="s">
        <v>25</v>
      </c>
      <c r="G176" s="4" t="s">
        <v>25</v>
      </c>
      <c r="H176" s="4" t="s">
        <v>25</v>
      </c>
      <c r="I176" s="5">
        <v>44621</v>
      </c>
      <c r="J176" s="6">
        <v>0</v>
      </c>
      <c r="K176" s="6">
        <v>0</v>
      </c>
      <c r="L176" s="6">
        <v>3.74</v>
      </c>
      <c r="M176" s="6">
        <v>3.74</v>
      </c>
      <c r="N176" s="6">
        <v>3.74</v>
      </c>
      <c r="O176" s="6">
        <v>3.74</v>
      </c>
      <c r="P176" s="6">
        <v>2</v>
      </c>
      <c r="Q176" s="4" t="s">
        <v>26</v>
      </c>
      <c r="R176" s="4">
        <v>0</v>
      </c>
      <c r="S176" s="6">
        <v>0</v>
      </c>
      <c r="T176" s="6">
        <v>31</v>
      </c>
      <c r="U176" s="6">
        <v>78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128.82</v>
      </c>
      <c r="X176" s="6">
        <f>IF(ISERROR(VLOOKUP($U$176,'TAR FIN'!$A$1:$O$85,15,0)),0,VLOOKUP($U$176,'TAR FIN'!$A$1:$O$85,15,0))</f>
        <v>77.56</v>
      </c>
      <c r="Y176" s="6"/>
      <c r="Z176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6" s="6">
        <f>('TE BE'!$AB$12+'TE BF'!$AB$12+'TE CVA'!$AB$12)*(1-CUSTOS!$M$34)</f>
        <v>94.223287983308353</v>
      </c>
      <c r="AB176" s="6">
        <f>$K$176*$V$176</f>
        <v>0</v>
      </c>
      <c r="AC176" s="6">
        <f>$M$176*$W$176</f>
        <v>481.78680000000003</v>
      </c>
      <c r="AD176" s="6">
        <f>$O$176*$X$176</f>
        <v>290.07440000000003</v>
      </c>
      <c r="AE176" s="6">
        <f>$K$176*$Y$176</f>
        <v>0</v>
      </c>
      <c r="AF176" s="6">
        <f ca="1">$M$176*$Z$176</f>
        <v>460.75705036129779</v>
      </c>
      <c r="AG176" s="6">
        <f>$O$176*$AA$176</f>
        <v>352.39509705757325</v>
      </c>
    </row>
    <row r="177" spans="1:33" ht="11.25" customHeight="1" x14ac:dyDescent="0.3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29</v>
      </c>
      <c r="F177" s="4" t="s">
        <v>25</v>
      </c>
      <c r="G177" s="4" t="s">
        <v>25</v>
      </c>
      <c r="H177" s="4" t="s">
        <v>25</v>
      </c>
      <c r="I177" s="5">
        <v>44652</v>
      </c>
      <c r="J177" s="6">
        <v>0</v>
      </c>
      <c r="K177" s="6">
        <v>0</v>
      </c>
      <c r="L177" s="6">
        <v>3.84</v>
      </c>
      <c r="M177" s="6">
        <v>3.84</v>
      </c>
      <c r="N177" s="6">
        <v>3.84</v>
      </c>
      <c r="O177" s="6">
        <v>3.84</v>
      </c>
      <c r="P177" s="6">
        <v>0</v>
      </c>
      <c r="Q177" s="4" t="s">
        <v>26</v>
      </c>
      <c r="R177" s="4">
        <v>0</v>
      </c>
      <c r="S177" s="6">
        <v>0</v>
      </c>
      <c r="T177" s="6">
        <v>31</v>
      </c>
      <c r="U177" s="6">
        <v>78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128.82</v>
      </c>
      <c r="X177" s="6">
        <f>IF(ISERROR(VLOOKUP($U$177,'TAR FIN'!$A$1:$O$85,15,0)),0,VLOOKUP($U$177,'TAR FIN'!$A$1:$O$85,15,0))</f>
        <v>77.56</v>
      </c>
      <c r="Y177" s="6"/>
      <c r="Z177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7" s="6">
        <f>('TE BE'!$AB$12+'TE BF'!$AB$12+'TE CVA'!$AB$12)*(1-CUSTOS!$M$34)</f>
        <v>94.223287983308353</v>
      </c>
      <c r="AB177" s="6">
        <f>$K$177*$V$177</f>
        <v>0</v>
      </c>
      <c r="AC177" s="6">
        <f>$M$177*$W$177</f>
        <v>494.66879999999998</v>
      </c>
      <c r="AD177" s="6">
        <f>$O$177*$X$177</f>
        <v>297.8304</v>
      </c>
      <c r="AE177" s="6">
        <f>$K$177*$Y$177</f>
        <v>0</v>
      </c>
      <c r="AF177" s="6">
        <f ca="1">$M$177*$Z$177</f>
        <v>473.07675759020941</v>
      </c>
      <c r="AG177" s="6">
        <f>$O$177*$AA$177</f>
        <v>361.81742585590405</v>
      </c>
    </row>
    <row r="178" spans="1:33" ht="11.25" customHeight="1" x14ac:dyDescent="0.3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29</v>
      </c>
      <c r="F178" s="4" t="s">
        <v>25</v>
      </c>
      <c r="G178" s="4" t="s">
        <v>25</v>
      </c>
      <c r="H178" s="4" t="s">
        <v>25</v>
      </c>
      <c r="I178" s="5">
        <v>44682</v>
      </c>
      <c r="J178" s="6">
        <v>0</v>
      </c>
      <c r="K178" s="6">
        <v>0</v>
      </c>
      <c r="L178" s="6">
        <v>3.93</v>
      </c>
      <c r="M178" s="6">
        <v>3.93</v>
      </c>
      <c r="N178" s="6">
        <v>3.93</v>
      </c>
      <c r="O178" s="6">
        <v>3.93</v>
      </c>
      <c r="P178" s="6">
        <v>0</v>
      </c>
      <c r="Q178" s="4" t="s">
        <v>26</v>
      </c>
      <c r="R178" s="4">
        <v>0</v>
      </c>
      <c r="S178" s="6">
        <v>0</v>
      </c>
      <c r="T178" s="6">
        <v>31</v>
      </c>
      <c r="U178" s="6">
        <v>78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128.82</v>
      </c>
      <c r="X178" s="6">
        <f>IF(ISERROR(VLOOKUP($U$178,'TAR FIN'!$A$1:$O$85,15,0)),0,VLOOKUP($U$178,'TAR FIN'!$A$1:$O$85,15,0))</f>
        <v>77.56</v>
      </c>
      <c r="Y178" s="6"/>
      <c r="Z178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8" s="6">
        <f>('TE BE'!$AB$12+'TE BF'!$AB$12+'TE CVA'!$AB$12)*(1-CUSTOS!$M$34)</f>
        <v>94.223287983308353</v>
      </c>
      <c r="AB178" s="6">
        <f>$K$178*$V$178</f>
        <v>0</v>
      </c>
      <c r="AC178" s="6">
        <f>$M$178*$W$178</f>
        <v>506.26260000000002</v>
      </c>
      <c r="AD178" s="6">
        <f>$O$178*$X$178</f>
        <v>304.81080000000003</v>
      </c>
      <c r="AE178" s="6">
        <f>$K$178*$Y$178</f>
        <v>0</v>
      </c>
      <c r="AF178" s="6">
        <f ca="1">$M$178*$Z$178</f>
        <v>484.16449409622999</v>
      </c>
      <c r="AG178" s="6">
        <f>$O$178*$AA$178</f>
        <v>370.29752177440184</v>
      </c>
    </row>
    <row r="179" spans="1:33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29</v>
      </c>
      <c r="F179" s="4" t="s">
        <v>25</v>
      </c>
      <c r="G179" s="4" t="s">
        <v>25</v>
      </c>
      <c r="H179" s="4" t="s">
        <v>25</v>
      </c>
      <c r="I179" s="5">
        <v>44713</v>
      </c>
      <c r="J179" s="6">
        <v>0</v>
      </c>
      <c r="K179" s="6">
        <v>0</v>
      </c>
      <c r="L179" s="6">
        <v>7.44</v>
      </c>
      <c r="M179" s="6">
        <v>7.44</v>
      </c>
      <c r="N179" s="6">
        <v>7.44</v>
      </c>
      <c r="O179" s="6">
        <v>7.44</v>
      </c>
      <c r="P179" s="6">
        <v>3</v>
      </c>
      <c r="Q179" s="4" t="s">
        <v>26</v>
      </c>
      <c r="R179" s="4">
        <v>0</v>
      </c>
      <c r="S179" s="6">
        <v>0</v>
      </c>
      <c r="T179" s="6">
        <v>31</v>
      </c>
      <c r="U179" s="6">
        <v>78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128.82</v>
      </c>
      <c r="X179" s="6">
        <f>IF(ISERROR(VLOOKUP($U$179,'TAR FIN'!$A$1:$O$85,15,0)),0,VLOOKUP($U$179,'TAR FIN'!$A$1:$O$85,15,0))</f>
        <v>77.56</v>
      </c>
      <c r="Y179" s="6"/>
      <c r="Z179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79" s="6">
        <f>('TE BE'!$AB$12+'TE BF'!$AB$12+'TE CVA'!$AB$12)*(1-CUSTOS!$M$34)</f>
        <v>94.223287983308353</v>
      </c>
      <c r="AB179" s="6">
        <f>$K$179*$V$179</f>
        <v>0</v>
      </c>
      <c r="AC179" s="6">
        <f>$M$179*$W$179</f>
        <v>958.42079999999999</v>
      </c>
      <c r="AD179" s="6">
        <f>$O$179*$X$179</f>
        <v>577.04640000000006</v>
      </c>
      <c r="AE179" s="6">
        <f>$K$179*$Y$179</f>
        <v>0</v>
      </c>
      <c r="AF179" s="6">
        <f ca="1">$M$179*$Z$179</f>
        <v>916.58621783103092</v>
      </c>
      <c r="AG179" s="6">
        <f>$O$179*$AA$179</f>
        <v>701.02126259581416</v>
      </c>
    </row>
    <row r="180" spans="1:33" ht="11.25" customHeight="1" x14ac:dyDescent="0.3">
      <c r="A180" s="4" t="s">
        <v>27</v>
      </c>
      <c r="B180" s="4" t="s">
        <v>22</v>
      </c>
      <c r="C180" s="4" t="s">
        <v>23</v>
      </c>
      <c r="D180" s="4" t="s">
        <v>24</v>
      </c>
      <c r="E180" s="4" t="s">
        <v>29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0.06</v>
      </c>
      <c r="M180" s="6">
        <v>0.06</v>
      </c>
      <c r="N180" s="6">
        <v>0.06</v>
      </c>
      <c r="O180" s="6">
        <v>0.06</v>
      </c>
      <c r="P180" s="6">
        <v>0</v>
      </c>
      <c r="Q180" s="4" t="s">
        <v>26</v>
      </c>
      <c r="R180" s="4">
        <v>0</v>
      </c>
      <c r="S180" s="6">
        <v>0</v>
      </c>
      <c r="T180" s="6">
        <v>31</v>
      </c>
      <c r="U180" s="6">
        <v>78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128.82</v>
      </c>
      <c r="X180" s="6">
        <f>IF(ISERROR(VLOOKUP($U$180,'TAR FIN'!$A$1:$O$85,15,0)),0,VLOOKUP($U$180,'TAR FIN'!$A$1:$O$85,15,0))</f>
        <v>77.56</v>
      </c>
      <c r="Y180" s="6"/>
      <c r="Z180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80" s="6">
        <f>('TE BE'!$AB$12+'TE BF'!$AB$12+'TE CVA'!$AB$12)*(1-CUSTOS!$M$34)</f>
        <v>94.223287983308353</v>
      </c>
      <c r="AB180" s="6">
        <f>$K$180*$V$180</f>
        <v>0</v>
      </c>
      <c r="AC180" s="6">
        <f>$M$180*$W$180</f>
        <v>7.7291999999999996</v>
      </c>
      <c r="AD180" s="6">
        <f>$O$180*$X$180</f>
        <v>4.6536</v>
      </c>
      <c r="AE180" s="6">
        <f>$K$180*$Y$180</f>
        <v>0</v>
      </c>
      <c r="AF180" s="6">
        <f ca="1">$M$180*$Z$180</f>
        <v>7.391824337347022</v>
      </c>
      <c r="AG180" s="6">
        <f>$O$180*$AA$180</f>
        <v>5.6533972789985008</v>
      </c>
    </row>
    <row r="181" spans="1:33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29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7.4160000000000004</v>
      </c>
      <c r="M181" s="6">
        <v>7.4160000000000004</v>
      </c>
      <c r="N181" s="6">
        <v>7.4160000000000004</v>
      </c>
      <c r="O181" s="6">
        <v>7.4160000000000004</v>
      </c>
      <c r="P181" s="6">
        <v>11</v>
      </c>
      <c r="Q181" s="4" t="s">
        <v>26</v>
      </c>
      <c r="R181" s="4">
        <v>0</v>
      </c>
      <c r="S181" s="6">
        <v>0</v>
      </c>
      <c r="T181" s="6">
        <v>31</v>
      </c>
      <c r="U181" s="6">
        <v>78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128.82</v>
      </c>
      <c r="X181" s="6">
        <f>IF(ISERROR(VLOOKUP($U$181,'TAR FIN'!$A$1:$O$85,15,0)),0,VLOOKUP($U$181,'TAR FIN'!$A$1:$O$85,15,0))</f>
        <v>77.56</v>
      </c>
      <c r="Y181" s="6"/>
      <c r="Z181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81" s="6">
        <f>('TE BE'!$AB$12+'TE BF'!$AB$12+'TE CVA'!$AB$12)*(1-CUSTOS!$M$34)</f>
        <v>94.223287983308353</v>
      </c>
      <c r="AB181" s="6">
        <f>$K$181*$V$181</f>
        <v>0</v>
      </c>
      <c r="AC181" s="6">
        <f>$M$181*$W$181</f>
        <v>955.32911999999999</v>
      </c>
      <c r="AD181" s="6">
        <f>$O$181*$X$181</f>
        <v>575.18496000000005</v>
      </c>
      <c r="AE181" s="6">
        <f>$K$181*$Y$181</f>
        <v>0</v>
      </c>
      <c r="AF181" s="6">
        <f ca="1">$M$181*$Z$181</f>
        <v>913.62948809609202</v>
      </c>
      <c r="AG181" s="6">
        <f>$O$181*$AA$181</f>
        <v>698.75990368421481</v>
      </c>
    </row>
    <row r="182" spans="1:33" ht="11.25" customHeight="1" x14ac:dyDescent="0.3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29</v>
      </c>
      <c r="F182" s="4" t="s">
        <v>25</v>
      </c>
      <c r="G182" s="4" t="s">
        <v>25</v>
      </c>
      <c r="H182" s="4" t="s">
        <v>25</v>
      </c>
      <c r="I182" s="5">
        <v>44774</v>
      </c>
      <c r="J182" s="6">
        <v>0</v>
      </c>
      <c r="K182" s="6">
        <v>0</v>
      </c>
      <c r="L182" s="6">
        <v>5.55</v>
      </c>
      <c r="M182" s="6">
        <v>5.55</v>
      </c>
      <c r="N182" s="6">
        <v>5.55</v>
      </c>
      <c r="O182" s="6">
        <v>5.55</v>
      </c>
      <c r="P182" s="6">
        <v>3</v>
      </c>
      <c r="Q182" s="4" t="s">
        <v>26</v>
      </c>
      <c r="R182" s="4">
        <v>0</v>
      </c>
      <c r="S182" s="6">
        <v>0</v>
      </c>
      <c r="T182" s="6">
        <v>31</v>
      </c>
      <c r="U182" s="6">
        <v>78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128.82</v>
      </c>
      <c r="X182" s="6">
        <f>IF(ISERROR(VLOOKUP($U$182,'TAR FIN'!$A$1:$O$85,15,0)),0,VLOOKUP($U$182,'TAR FIN'!$A$1:$O$85,15,0))</f>
        <v>77.56</v>
      </c>
      <c r="Y182" s="6"/>
      <c r="Z182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182" s="6">
        <f>('TE BE'!$AB$12+'TE BF'!$AB$12+'TE CVA'!$AB$12)*(1-CUSTOS!$M$34)</f>
        <v>94.223287983308353</v>
      </c>
      <c r="AB182" s="6">
        <f>$K$182*$V$182</f>
        <v>0</v>
      </c>
      <c r="AC182" s="6">
        <f>$M$182*$W$182</f>
        <v>714.95099999999991</v>
      </c>
      <c r="AD182" s="6">
        <f>$O$182*$X$182</f>
        <v>430.45800000000003</v>
      </c>
      <c r="AE182" s="6">
        <f>$K$182*$Y$182</f>
        <v>0</v>
      </c>
      <c r="AF182" s="6">
        <f ca="1">$M$182*$Z$182</f>
        <v>683.74375120459956</v>
      </c>
      <c r="AG182" s="6">
        <f>$O$182*$AA$182</f>
        <v>522.93924830736137</v>
      </c>
    </row>
    <row r="183" spans="1:33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30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7.7220000000000004</v>
      </c>
      <c r="M183" s="6">
        <v>7.7220000000000004</v>
      </c>
      <c r="N183" s="6">
        <v>7.7220000000000004</v>
      </c>
      <c r="O183" s="6">
        <v>7.7220000000000004</v>
      </c>
      <c r="P183" s="6">
        <v>30</v>
      </c>
      <c r="Q183" s="4" t="s">
        <v>26</v>
      </c>
      <c r="R183" s="4">
        <v>0</v>
      </c>
      <c r="S183" s="6">
        <v>0</v>
      </c>
      <c r="T183" s="6">
        <v>33</v>
      </c>
      <c r="U183" s="6">
        <v>84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220.84</v>
      </c>
      <c r="X183" s="6">
        <f>IF(ISERROR(VLOOKUP($U$183,'TAR FIN'!$A$1:$O$85,15,0)),0,VLOOKUP($U$183,'TAR FIN'!$A$1:$O$85,15,0))</f>
        <v>132.96</v>
      </c>
      <c r="Y183" s="6"/>
      <c r="Z183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3" s="6">
        <f>('TE BE'!$AB$13+'TE BF'!$AB$13+'TE CVA'!$AB$13)*(1-CUSTOS!$M$35)</f>
        <v>161.52563654281434</v>
      </c>
      <c r="AB183" s="6">
        <f>$K$183*$V$183</f>
        <v>0</v>
      </c>
      <c r="AC183" s="6">
        <f>$M$183*$W$183</f>
        <v>1705.3264800000002</v>
      </c>
      <c r="AD183" s="6">
        <f>$O$183*$X$183</f>
        <v>1026.71712</v>
      </c>
      <c r="AE183" s="6">
        <f>$K$183*$Y$183</f>
        <v>0</v>
      </c>
      <c r="AF183" s="6">
        <f ca="1">$M$183*$Z$183</f>
        <v>1630.8476437998204</v>
      </c>
      <c r="AG183" s="6">
        <f>$O$183*$AA$183</f>
        <v>1247.3009653836125</v>
      </c>
    </row>
    <row r="184" spans="1:33" ht="11.25" customHeight="1" x14ac:dyDescent="0.3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30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0</v>
      </c>
      <c r="K184" s="6">
        <v>0</v>
      </c>
      <c r="L184" s="6">
        <v>7.4450000000000003</v>
      </c>
      <c r="M184" s="6">
        <v>7.4450000000000003</v>
      </c>
      <c r="N184" s="6">
        <v>7.4450000000000003</v>
      </c>
      <c r="O184" s="6">
        <v>7.4450000000000003</v>
      </c>
      <c r="P184" s="6">
        <v>39</v>
      </c>
      <c r="Q184" s="4" t="s">
        <v>26</v>
      </c>
      <c r="R184" s="4">
        <v>0</v>
      </c>
      <c r="S184" s="6">
        <v>0</v>
      </c>
      <c r="T184" s="6">
        <v>33</v>
      </c>
      <c r="U184" s="6">
        <v>84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220.84</v>
      </c>
      <c r="X184" s="6">
        <f>IF(ISERROR(VLOOKUP($U$184,'TAR FIN'!$A$1:$O$85,15,0)),0,VLOOKUP($U$184,'TAR FIN'!$A$1:$O$85,15,0))</f>
        <v>132.96</v>
      </c>
      <c r="Y184" s="6"/>
      <c r="Z184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4" s="6">
        <f>('TE BE'!$AB$13+'TE BF'!$AB$13+'TE CVA'!$AB$13)*(1-CUSTOS!$M$35)</f>
        <v>161.52563654281434</v>
      </c>
      <c r="AB184" s="6">
        <f>$K$184*$V$184</f>
        <v>0</v>
      </c>
      <c r="AC184" s="6">
        <f>$M$184*$W$184</f>
        <v>1644.1538</v>
      </c>
      <c r="AD184" s="6">
        <f>$O$184*$X$184</f>
        <v>989.88720000000012</v>
      </c>
      <c r="AE184" s="6">
        <f>$K$184*$Y$184</f>
        <v>0</v>
      </c>
      <c r="AF184" s="6">
        <f ca="1">$M$184*$Z$184</f>
        <v>1572.3466340442453</v>
      </c>
      <c r="AG184" s="6">
        <f>$O$184*$AA$184</f>
        <v>1202.5583640612529</v>
      </c>
    </row>
    <row r="185" spans="1:33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30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0</v>
      </c>
      <c r="K185" s="6">
        <v>0</v>
      </c>
      <c r="L185" s="6">
        <v>7.48</v>
      </c>
      <c r="M185" s="6">
        <v>7.48</v>
      </c>
      <c r="N185" s="6">
        <v>7.48</v>
      </c>
      <c r="O185" s="6">
        <v>7.48</v>
      </c>
      <c r="P185" s="6">
        <v>32</v>
      </c>
      <c r="Q185" s="4" t="s">
        <v>26</v>
      </c>
      <c r="R185" s="4">
        <v>0</v>
      </c>
      <c r="S185" s="6">
        <v>0</v>
      </c>
      <c r="T185" s="6">
        <v>33</v>
      </c>
      <c r="U185" s="6">
        <v>84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220.84</v>
      </c>
      <c r="X185" s="6">
        <f>IF(ISERROR(VLOOKUP($U$185,'TAR FIN'!$A$1:$O$85,15,0)),0,VLOOKUP($U$185,'TAR FIN'!$A$1:$O$85,15,0))</f>
        <v>132.96</v>
      </c>
      <c r="Y185" s="6"/>
      <c r="Z185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5" s="6">
        <f>('TE BE'!$AB$13+'TE BF'!$AB$13+'TE CVA'!$AB$13)*(1-CUSTOS!$M$35)</f>
        <v>161.52563654281434</v>
      </c>
      <c r="AB185" s="6">
        <f>$K$185*$V$185</f>
        <v>0</v>
      </c>
      <c r="AC185" s="6">
        <f>$M$185*$W$185</f>
        <v>1651.8832000000002</v>
      </c>
      <c r="AD185" s="6">
        <f>$O$185*$X$185</f>
        <v>994.5408000000001</v>
      </c>
      <c r="AE185" s="6">
        <f>$K$185*$Y$185</f>
        <v>0</v>
      </c>
      <c r="AF185" s="6">
        <f ca="1">$M$185*$Z$185</f>
        <v>1579.7384583815924</v>
      </c>
      <c r="AG185" s="6">
        <f>$O$185*$AA$185</f>
        <v>1208.2117613402513</v>
      </c>
    </row>
    <row r="186" spans="1:33" ht="11.25" customHeight="1" x14ac:dyDescent="0.3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30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7.7610000000000001</v>
      </c>
      <c r="M186" s="6">
        <v>7.7610000000000001</v>
      </c>
      <c r="N186" s="6">
        <v>7.7610000000000001</v>
      </c>
      <c r="O186" s="6">
        <v>7.7610000000000001</v>
      </c>
      <c r="P186" s="6">
        <v>27</v>
      </c>
      <c r="Q186" s="4" t="s">
        <v>26</v>
      </c>
      <c r="R186" s="4">
        <v>0</v>
      </c>
      <c r="S186" s="6">
        <v>0</v>
      </c>
      <c r="T186" s="6">
        <v>33</v>
      </c>
      <c r="U186" s="6">
        <v>84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220.84</v>
      </c>
      <c r="X186" s="6">
        <f>IF(ISERROR(VLOOKUP($U$186,'TAR FIN'!$A$1:$O$85,15,0)),0,VLOOKUP($U$186,'TAR FIN'!$A$1:$O$85,15,0))</f>
        <v>132.96</v>
      </c>
      <c r="Y186" s="6"/>
      <c r="Z186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6" s="6">
        <f>('TE BE'!$AB$13+'TE BF'!$AB$13+'TE CVA'!$AB$13)*(1-CUSTOS!$M$35)</f>
        <v>161.52563654281434</v>
      </c>
      <c r="AB186" s="6">
        <f>$K$186*$V$186</f>
        <v>0</v>
      </c>
      <c r="AC186" s="6">
        <f>$M$186*$W$186</f>
        <v>1713.9392400000002</v>
      </c>
      <c r="AD186" s="6">
        <f>$O$186*$X$186</f>
        <v>1031.90256</v>
      </c>
      <c r="AE186" s="6">
        <f>$K$186*$Y$186</f>
        <v>0</v>
      </c>
      <c r="AF186" s="6">
        <f ca="1">$M$186*$Z$186</f>
        <v>1639.0842480614356</v>
      </c>
      <c r="AG186" s="6">
        <f>$O$186*$AA$186</f>
        <v>1253.600465208782</v>
      </c>
    </row>
    <row r="187" spans="1:33" ht="11.25" customHeight="1" x14ac:dyDescent="0.3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30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7.7949999999999999</v>
      </c>
      <c r="M187" s="6">
        <v>7.7949999999999999</v>
      </c>
      <c r="N187" s="6">
        <v>7.7949999999999999</v>
      </c>
      <c r="O187" s="6">
        <v>7.7949999999999999</v>
      </c>
      <c r="P187" s="6">
        <v>20</v>
      </c>
      <c r="Q187" s="4" t="s">
        <v>26</v>
      </c>
      <c r="R187" s="4">
        <v>0</v>
      </c>
      <c r="S187" s="6">
        <v>0</v>
      </c>
      <c r="T187" s="6">
        <v>33</v>
      </c>
      <c r="U187" s="6">
        <v>84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220.84</v>
      </c>
      <c r="X187" s="6">
        <f>IF(ISERROR(VLOOKUP($U$187,'TAR FIN'!$A$1:$O$85,15,0)),0,VLOOKUP($U$187,'TAR FIN'!$A$1:$O$85,15,0))</f>
        <v>132.96</v>
      </c>
      <c r="Y187" s="6"/>
      <c r="Z187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7" s="6">
        <f>('TE BE'!$AB$13+'TE BF'!$AB$13+'TE CVA'!$AB$13)*(1-CUSTOS!$M$35)</f>
        <v>161.52563654281434</v>
      </c>
      <c r="AB187" s="6">
        <f>$K$187*$V$187</f>
        <v>0</v>
      </c>
      <c r="AC187" s="6">
        <f>$M$187*$W$187</f>
        <v>1721.4477999999999</v>
      </c>
      <c r="AD187" s="6">
        <f>$O$187*$X$187</f>
        <v>1036.4232</v>
      </c>
      <c r="AE187" s="6">
        <f>$K$187*$Y$187</f>
        <v>0</v>
      </c>
      <c r="AF187" s="6">
        <f ca="1">$M$187*$Z$187</f>
        <v>1646.2648774177155</v>
      </c>
      <c r="AG187" s="6">
        <f>$O$187*$AA$187</f>
        <v>1259.0923368512379</v>
      </c>
    </row>
    <row r="188" spans="1:33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30</v>
      </c>
      <c r="F188" s="4" t="s">
        <v>25</v>
      </c>
      <c r="G188" s="4" t="s">
        <v>25</v>
      </c>
      <c r="H188" s="4" t="s">
        <v>25</v>
      </c>
      <c r="I188" s="5">
        <v>44593</v>
      </c>
      <c r="J188" s="6">
        <v>0</v>
      </c>
      <c r="K188" s="6">
        <v>0</v>
      </c>
      <c r="L188" s="6">
        <v>8.0180000000000007</v>
      </c>
      <c r="M188" s="6">
        <v>8.0180000000000007</v>
      </c>
      <c r="N188" s="6">
        <v>8.0180000000000007</v>
      </c>
      <c r="O188" s="6">
        <v>8.0180000000000007</v>
      </c>
      <c r="P188" s="6">
        <v>24</v>
      </c>
      <c r="Q188" s="4" t="s">
        <v>26</v>
      </c>
      <c r="R188" s="4">
        <v>0</v>
      </c>
      <c r="S188" s="6">
        <v>0</v>
      </c>
      <c r="T188" s="6">
        <v>33</v>
      </c>
      <c r="U188" s="6">
        <v>84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220.84</v>
      </c>
      <c r="X188" s="6">
        <f>IF(ISERROR(VLOOKUP($U$188,'TAR FIN'!$A$1:$O$85,15,0)),0,VLOOKUP($U$188,'TAR FIN'!$A$1:$O$85,15,0))</f>
        <v>132.96</v>
      </c>
      <c r="Y188" s="6"/>
      <c r="Z188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8" s="6">
        <f>('TE BE'!$AB$13+'TE BF'!$AB$13+'TE CVA'!$AB$13)*(1-CUSTOS!$M$35)</f>
        <v>161.52563654281434</v>
      </c>
      <c r="AB188" s="6">
        <f>$K$188*$V$188</f>
        <v>0</v>
      </c>
      <c r="AC188" s="6">
        <f>$M$188*$W$188</f>
        <v>1770.6951200000001</v>
      </c>
      <c r="AD188" s="6">
        <f>$O$188*$X$188</f>
        <v>1066.0732800000001</v>
      </c>
      <c r="AE188" s="6">
        <f>$K$188*$Y$188</f>
        <v>0</v>
      </c>
      <c r="AF188" s="6">
        <f ca="1">$M$188*$Z$188</f>
        <v>1693.3613581956695</v>
      </c>
      <c r="AG188" s="6">
        <f>$O$188*$AA$188</f>
        <v>1295.1125538002855</v>
      </c>
    </row>
    <row r="189" spans="1:33" ht="11.25" customHeight="1" x14ac:dyDescent="0.3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30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8.0980000000000008</v>
      </c>
      <c r="M189" s="6">
        <v>8.0980000000000008</v>
      </c>
      <c r="N189" s="6">
        <v>8.0980000000000008</v>
      </c>
      <c r="O189" s="6">
        <v>8.0980000000000008</v>
      </c>
      <c r="P189" s="6">
        <v>20</v>
      </c>
      <c r="Q189" s="4" t="s">
        <v>26</v>
      </c>
      <c r="R189" s="4">
        <v>0</v>
      </c>
      <c r="S189" s="6">
        <v>0</v>
      </c>
      <c r="T189" s="6">
        <v>33</v>
      </c>
      <c r="U189" s="6">
        <v>84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220.84</v>
      </c>
      <c r="X189" s="6">
        <f>IF(ISERROR(VLOOKUP($U$189,'TAR FIN'!$A$1:$O$85,15,0)),0,VLOOKUP($U$189,'TAR FIN'!$A$1:$O$85,15,0))</f>
        <v>132.96</v>
      </c>
      <c r="Y189" s="6"/>
      <c r="Z189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89" s="6">
        <f>('TE BE'!$AB$13+'TE BF'!$AB$13+'TE CVA'!$AB$13)*(1-CUSTOS!$M$35)</f>
        <v>161.52563654281434</v>
      </c>
      <c r="AB189" s="6">
        <f>$K$189*$V$189</f>
        <v>0</v>
      </c>
      <c r="AC189" s="6">
        <f>$M$189*$W$189</f>
        <v>1788.3623200000002</v>
      </c>
      <c r="AD189" s="6">
        <f>$O$189*$X$189</f>
        <v>1076.7100800000001</v>
      </c>
      <c r="AE189" s="6">
        <f>$K$189*$Y$189</f>
        <v>0</v>
      </c>
      <c r="AF189" s="6">
        <f ca="1">$M$189*$Z$189</f>
        <v>1710.2569566810341</v>
      </c>
      <c r="AG189" s="6">
        <f>$O$189*$AA$189</f>
        <v>1308.0346047237106</v>
      </c>
    </row>
    <row r="190" spans="1:33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30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8.4</v>
      </c>
      <c r="M190" s="6">
        <v>8.4</v>
      </c>
      <c r="N190" s="6">
        <v>8.4</v>
      </c>
      <c r="O190" s="6">
        <v>8.4</v>
      </c>
      <c r="P190" s="6">
        <v>23</v>
      </c>
      <c r="Q190" s="4" t="s">
        <v>26</v>
      </c>
      <c r="R190" s="4">
        <v>0</v>
      </c>
      <c r="S190" s="6">
        <v>0</v>
      </c>
      <c r="T190" s="6">
        <v>33</v>
      </c>
      <c r="U190" s="6">
        <v>84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220.84</v>
      </c>
      <c r="X190" s="6">
        <f>IF(ISERROR(VLOOKUP($U$190,'TAR FIN'!$A$1:$O$85,15,0)),0,VLOOKUP($U$190,'TAR FIN'!$A$1:$O$85,15,0))</f>
        <v>132.96</v>
      </c>
      <c r="Y190" s="6"/>
      <c r="Z190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90" s="6">
        <f>('TE BE'!$AB$13+'TE BF'!$AB$13+'TE CVA'!$AB$13)*(1-CUSTOS!$M$35)</f>
        <v>161.52563654281434</v>
      </c>
      <c r="AB190" s="6">
        <f>$K$190*$V$190</f>
        <v>0</v>
      </c>
      <c r="AC190" s="6">
        <f>$M$190*$W$190</f>
        <v>1855.056</v>
      </c>
      <c r="AD190" s="6">
        <f>$O$190*$X$190</f>
        <v>1116.864</v>
      </c>
      <c r="AE190" s="6">
        <f>$K$190*$Y$190</f>
        <v>0</v>
      </c>
      <c r="AF190" s="6">
        <f ca="1">$M$190*$Z$190</f>
        <v>1774.0378409632856</v>
      </c>
      <c r="AG190" s="6">
        <f>$O$190*$AA$190</f>
        <v>1356.8153469596405</v>
      </c>
    </row>
    <row r="191" spans="1:33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30</v>
      </c>
      <c r="F191" s="4" t="s">
        <v>25</v>
      </c>
      <c r="G191" s="4" t="s">
        <v>25</v>
      </c>
      <c r="H191" s="4" t="s">
        <v>25</v>
      </c>
      <c r="I191" s="5">
        <v>44682</v>
      </c>
      <c r="J191" s="6">
        <v>0</v>
      </c>
      <c r="K191" s="6">
        <v>0</v>
      </c>
      <c r="L191" s="6">
        <v>8.14</v>
      </c>
      <c r="M191" s="6">
        <v>8.14</v>
      </c>
      <c r="N191" s="6">
        <v>8.14</v>
      </c>
      <c r="O191" s="6">
        <v>8.14</v>
      </c>
      <c r="P191" s="6">
        <v>35</v>
      </c>
      <c r="Q191" s="4" t="s">
        <v>26</v>
      </c>
      <c r="R191" s="4">
        <v>0</v>
      </c>
      <c r="S191" s="6">
        <v>0</v>
      </c>
      <c r="T191" s="6">
        <v>33</v>
      </c>
      <c r="U191" s="6">
        <v>84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220.84</v>
      </c>
      <c r="X191" s="6">
        <f>IF(ISERROR(VLOOKUP($U$191,'TAR FIN'!$A$1:$O$85,15,0)),0,VLOOKUP($U$191,'TAR FIN'!$A$1:$O$85,15,0))</f>
        <v>132.96</v>
      </c>
      <c r="Y191" s="6"/>
      <c r="Z191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91" s="6">
        <f>('TE BE'!$AB$13+'TE BF'!$AB$13+'TE CVA'!$AB$13)*(1-CUSTOS!$M$35)</f>
        <v>161.52563654281434</v>
      </c>
      <c r="AB191" s="6">
        <f>$K$191*$V$191</f>
        <v>0</v>
      </c>
      <c r="AC191" s="6">
        <f>$M$191*$W$191</f>
        <v>1797.6376000000002</v>
      </c>
      <c r="AD191" s="6">
        <f>$O$191*$X$191</f>
        <v>1082.2944000000002</v>
      </c>
      <c r="AE191" s="6">
        <f>$K$191*$Y$191</f>
        <v>0</v>
      </c>
      <c r="AF191" s="6">
        <f ca="1">$M$191*$Z$191</f>
        <v>1719.1271458858505</v>
      </c>
      <c r="AG191" s="6">
        <f>$O$191*$AA$191</f>
        <v>1314.8186814585088</v>
      </c>
    </row>
    <row r="192" spans="1:33" ht="11.25" customHeight="1" x14ac:dyDescent="0.3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30</v>
      </c>
      <c r="F192" s="4" t="s">
        <v>25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12.893000000000001</v>
      </c>
      <c r="M192" s="6">
        <v>12.893000000000001</v>
      </c>
      <c r="N192" s="6">
        <v>12.893000000000001</v>
      </c>
      <c r="O192" s="6">
        <v>12.893000000000001</v>
      </c>
      <c r="P192" s="6">
        <v>119</v>
      </c>
      <c r="Q192" s="4" t="s">
        <v>26</v>
      </c>
      <c r="R192" s="4">
        <v>0</v>
      </c>
      <c r="S192" s="6">
        <v>0</v>
      </c>
      <c r="T192" s="6">
        <v>33</v>
      </c>
      <c r="U192" s="6">
        <v>84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220.84</v>
      </c>
      <c r="X192" s="6">
        <f>IF(ISERROR(VLOOKUP($U$192,'TAR FIN'!$A$1:$O$85,15,0)),0,VLOOKUP($U$192,'TAR FIN'!$A$1:$O$85,15,0))</f>
        <v>132.96</v>
      </c>
      <c r="Y192" s="6"/>
      <c r="Z192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92" s="6">
        <f>('TE BE'!$AB$13+'TE BF'!$AB$13+'TE CVA'!$AB$13)*(1-CUSTOS!$M$35)</f>
        <v>161.52563654281434</v>
      </c>
      <c r="AB192" s="6">
        <f>$K$192*$V$192</f>
        <v>0</v>
      </c>
      <c r="AC192" s="6">
        <f>$M$192*$W$192</f>
        <v>2847.2901200000001</v>
      </c>
      <c r="AD192" s="6">
        <f>$O$192*$X$192</f>
        <v>1714.2532800000001</v>
      </c>
      <c r="AE192" s="6">
        <f>$K$192*$Y$192</f>
        <v>0</v>
      </c>
      <c r="AF192" s="6">
        <f ca="1">$M$192*$Z$192</f>
        <v>2722.9368908975762</v>
      </c>
      <c r="AG192" s="6">
        <f>$O$192*$AA$192</f>
        <v>2082.5500319465054</v>
      </c>
    </row>
    <row r="193" spans="1:33" ht="11.25" customHeight="1" x14ac:dyDescent="0.3">
      <c r="A193" s="4" t="s">
        <v>27</v>
      </c>
      <c r="B193" s="4" t="s">
        <v>22</v>
      </c>
      <c r="C193" s="4" t="s">
        <v>23</v>
      </c>
      <c r="D193" s="4" t="s">
        <v>24</v>
      </c>
      <c r="E193" s="4" t="s">
        <v>30</v>
      </c>
      <c r="F193" s="4" t="s">
        <v>25</v>
      </c>
      <c r="G193" s="4" t="s">
        <v>25</v>
      </c>
      <c r="H193" s="4" t="s">
        <v>25</v>
      </c>
      <c r="I193" s="5">
        <v>44713</v>
      </c>
      <c r="J193" s="6">
        <v>0</v>
      </c>
      <c r="K193" s="6">
        <v>0</v>
      </c>
      <c r="L193" s="6">
        <v>0.14000000000000001</v>
      </c>
      <c r="M193" s="6">
        <v>0.14000000000000001</v>
      </c>
      <c r="N193" s="6">
        <v>0.14000000000000001</v>
      </c>
      <c r="O193" s="6">
        <v>0.14000000000000001</v>
      </c>
      <c r="P193" s="6">
        <v>0</v>
      </c>
      <c r="Q193" s="4" t="s">
        <v>26</v>
      </c>
      <c r="R193" s="4">
        <v>0</v>
      </c>
      <c r="S193" s="6">
        <v>0</v>
      </c>
      <c r="T193" s="6">
        <v>33</v>
      </c>
      <c r="U193" s="6">
        <v>84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220.84</v>
      </c>
      <c r="X193" s="6">
        <f>IF(ISERROR(VLOOKUP($U$193,'TAR FIN'!$A$1:$O$85,15,0)),0,VLOOKUP($U$193,'TAR FIN'!$A$1:$O$85,15,0))</f>
        <v>132.96</v>
      </c>
      <c r="Y193" s="6"/>
      <c r="Z193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93" s="6">
        <f>('TE BE'!$AB$13+'TE BF'!$AB$13+'TE CVA'!$AB$13)*(1-CUSTOS!$M$35)</f>
        <v>161.52563654281434</v>
      </c>
      <c r="AB193" s="6">
        <f>$K$193*$V$193</f>
        <v>0</v>
      </c>
      <c r="AC193" s="6">
        <f>$M$193*$W$193</f>
        <v>30.917600000000004</v>
      </c>
      <c r="AD193" s="6">
        <f>$O$193*$X$193</f>
        <v>18.614400000000003</v>
      </c>
      <c r="AE193" s="6">
        <f>$K$193*$Y$193</f>
        <v>0</v>
      </c>
      <c r="AF193" s="6">
        <f ca="1">$M$193*$Z$193</f>
        <v>29.567297349388095</v>
      </c>
      <c r="AG193" s="6">
        <f>$O$193*$AA$193</f>
        <v>22.61358911599401</v>
      </c>
    </row>
    <row r="194" spans="1:33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30</v>
      </c>
      <c r="F194" s="4" t="s">
        <v>25</v>
      </c>
      <c r="G194" s="4" t="s">
        <v>25</v>
      </c>
      <c r="H194" s="4" t="s">
        <v>25</v>
      </c>
      <c r="I194" s="5">
        <v>44743</v>
      </c>
      <c r="J194" s="6">
        <v>0</v>
      </c>
      <c r="K194" s="6">
        <v>0</v>
      </c>
      <c r="L194" s="6">
        <v>12.66</v>
      </c>
      <c r="M194" s="6">
        <v>12.66</v>
      </c>
      <c r="N194" s="6">
        <v>12.66</v>
      </c>
      <c r="O194" s="6">
        <v>12.66</v>
      </c>
      <c r="P194" s="6">
        <v>115</v>
      </c>
      <c r="Q194" s="4" t="s">
        <v>26</v>
      </c>
      <c r="R194" s="4">
        <v>0</v>
      </c>
      <c r="S194" s="6">
        <v>0</v>
      </c>
      <c r="T194" s="6">
        <v>33</v>
      </c>
      <c r="U194" s="6">
        <v>84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220.84</v>
      </c>
      <c r="X194" s="6">
        <f>IF(ISERROR(VLOOKUP($U$194,'TAR FIN'!$A$1:$O$85,15,0)),0,VLOOKUP($U$194,'TAR FIN'!$A$1:$O$85,15,0))</f>
        <v>132.96</v>
      </c>
      <c r="Y194" s="6"/>
      <c r="Z194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94" s="6">
        <f>('TE BE'!$AB$13+'TE BF'!$AB$13+'TE CVA'!$AB$13)*(1-CUSTOS!$M$35)</f>
        <v>161.52563654281434</v>
      </c>
      <c r="AB194" s="6">
        <f>$K$194*$V$194</f>
        <v>0</v>
      </c>
      <c r="AC194" s="6">
        <f>$M$194*$W$194</f>
        <v>2795.8344000000002</v>
      </c>
      <c r="AD194" s="6">
        <f>$O$194*$X$194</f>
        <v>1683.2736000000002</v>
      </c>
      <c r="AE194" s="6">
        <f>$K$194*$Y$194</f>
        <v>0</v>
      </c>
      <c r="AF194" s="6">
        <f ca="1">$M$194*$Z$194</f>
        <v>2673.7284603089515</v>
      </c>
      <c r="AG194" s="6">
        <f>$O$194*$AA$194</f>
        <v>2044.9145586320296</v>
      </c>
    </row>
    <row r="195" spans="1:33" ht="11.25" customHeight="1" x14ac:dyDescent="0.3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30</v>
      </c>
      <c r="F195" s="4" t="s">
        <v>25</v>
      </c>
      <c r="G195" s="4" t="s">
        <v>25</v>
      </c>
      <c r="H195" s="4" t="s">
        <v>25</v>
      </c>
      <c r="I195" s="5">
        <v>44774</v>
      </c>
      <c r="J195" s="6">
        <v>0</v>
      </c>
      <c r="K195" s="6">
        <v>0</v>
      </c>
      <c r="L195" s="6">
        <v>10.305999999999999</v>
      </c>
      <c r="M195" s="6">
        <v>10.305999999999999</v>
      </c>
      <c r="N195" s="6">
        <v>10.305999999999999</v>
      </c>
      <c r="O195" s="6">
        <v>10.305999999999999</v>
      </c>
      <c r="P195" s="6">
        <v>74</v>
      </c>
      <c r="Q195" s="4" t="s">
        <v>26</v>
      </c>
      <c r="R195" s="4">
        <v>0</v>
      </c>
      <c r="S195" s="6">
        <v>0</v>
      </c>
      <c r="T195" s="6">
        <v>33</v>
      </c>
      <c r="U195" s="6">
        <v>84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220.84</v>
      </c>
      <c r="X195" s="6">
        <f>IF(ISERROR(VLOOKUP($U$195,'TAR FIN'!$A$1:$O$85,15,0)),0,VLOOKUP($U$195,'TAR FIN'!$A$1:$O$85,15,0))</f>
        <v>132.96</v>
      </c>
      <c r="Y195" s="6"/>
      <c r="Z195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95" s="6">
        <f>('TE BE'!$AB$13+'TE BF'!$AB$13+'TE CVA'!$AB$13)*(1-CUSTOS!$M$35)</f>
        <v>161.52563654281434</v>
      </c>
      <c r="AB195" s="6">
        <f>$K$195*$V$195</f>
        <v>0</v>
      </c>
      <c r="AC195" s="6">
        <f>$M$195*$W$195</f>
        <v>2275.9770399999998</v>
      </c>
      <c r="AD195" s="6">
        <f>$O$195*$X$195</f>
        <v>1370.28576</v>
      </c>
      <c r="AE195" s="6">
        <f>$K$195*$Y$195</f>
        <v>0</v>
      </c>
      <c r="AF195" s="6">
        <f ca="1">$M$195*$Z$195</f>
        <v>2176.5754748770973</v>
      </c>
      <c r="AG195" s="6">
        <f>$O$195*$AA$195</f>
        <v>1664.6832102102444</v>
      </c>
    </row>
    <row r="196" spans="1:33" ht="11.25" customHeight="1" x14ac:dyDescent="0.3">
      <c r="A196" s="4" t="s">
        <v>21</v>
      </c>
      <c r="B196" s="4" t="s">
        <v>22</v>
      </c>
      <c r="C196" s="4" t="s">
        <v>23</v>
      </c>
      <c r="D196" s="4" t="s">
        <v>24</v>
      </c>
      <c r="E196" s="4" t="s">
        <v>31</v>
      </c>
      <c r="F196" s="4" t="s">
        <v>25</v>
      </c>
      <c r="G196" s="4" t="s">
        <v>25</v>
      </c>
      <c r="H196" s="4" t="s">
        <v>25</v>
      </c>
      <c r="I196" s="5">
        <v>44440</v>
      </c>
      <c r="J196" s="6">
        <v>0</v>
      </c>
      <c r="K196" s="6">
        <v>0</v>
      </c>
      <c r="L196" s="6">
        <v>7.3079999999999998</v>
      </c>
      <c r="M196" s="6">
        <v>7.3079999999999998</v>
      </c>
      <c r="N196" s="6">
        <v>7.3079999999999998</v>
      </c>
      <c r="O196" s="6">
        <v>7.3079999999999998</v>
      </c>
      <c r="P196" s="6">
        <v>88</v>
      </c>
      <c r="Q196" s="4" t="s">
        <v>26</v>
      </c>
      <c r="R196" s="4">
        <v>0</v>
      </c>
      <c r="S196" s="6">
        <v>0</v>
      </c>
      <c r="T196" s="6">
        <v>43</v>
      </c>
      <c r="U196" s="6">
        <v>74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331.26</v>
      </c>
      <c r="X196" s="6">
        <f>IF(ISERROR(VLOOKUP($U$196,'TAR FIN'!$A$1:$O$85,15,0)),0,VLOOKUP($U$196,'TAR FIN'!$A$1:$O$85,15,0))</f>
        <v>199.44</v>
      </c>
      <c r="Y196" s="6"/>
      <c r="Z196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96" s="6">
        <f>('TE BE'!$AB$14+'TE BF'!$AB$14+'TE CVA'!$AB$14)*(1-CUSTOS!$M$36)</f>
        <v>242.2884548142215</v>
      </c>
      <c r="AB196" s="6">
        <f>$K$196*$V$196</f>
        <v>0</v>
      </c>
      <c r="AC196" s="6">
        <f>$M$196*$W$196</f>
        <v>2420.8480799999998</v>
      </c>
      <c r="AD196" s="6">
        <f>$O$196*$X$196</f>
        <v>1457.5075199999999</v>
      </c>
      <c r="AE196" s="6">
        <f>$K$196*$Y$196</f>
        <v>0</v>
      </c>
      <c r="AF196" s="6">
        <f ca="1">$M$196*$Z$196</f>
        <v>2315.1193824570878</v>
      </c>
      <c r="AG196" s="6">
        <f>$O$196*$AA$196</f>
        <v>1770.6440277823306</v>
      </c>
    </row>
    <row r="197" spans="1:33" ht="11.25" customHeight="1" x14ac:dyDescent="0.3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31</v>
      </c>
      <c r="F197" s="4" t="s">
        <v>25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5.2969999999999997</v>
      </c>
      <c r="M197" s="6">
        <v>5.2969999999999997</v>
      </c>
      <c r="N197" s="6">
        <v>5.2969999999999997</v>
      </c>
      <c r="O197" s="6">
        <v>5.2969999999999997</v>
      </c>
      <c r="P197" s="6">
        <v>68</v>
      </c>
      <c r="Q197" s="4" t="s">
        <v>26</v>
      </c>
      <c r="R197" s="4">
        <v>0</v>
      </c>
      <c r="S197" s="6">
        <v>0</v>
      </c>
      <c r="T197" s="6">
        <v>43</v>
      </c>
      <c r="U197" s="6">
        <v>74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331.26</v>
      </c>
      <c r="X197" s="6">
        <f>IF(ISERROR(VLOOKUP($U$197,'TAR FIN'!$A$1:$O$85,15,0)),0,VLOOKUP($U$197,'TAR FIN'!$A$1:$O$85,15,0))</f>
        <v>199.44</v>
      </c>
      <c r="Y197" s="6"/>
      <c r="Z197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97" s="6">
        <f>('TE BE'!$AB$14+'TE BF'!$AB$14+'TE CVA'!$AB$14)*(1-CUSTOS!$M$36)</f>
        <v>242.2884548142215</v>
      </c>
      <c r="AB197" s="6">
        <f>$K$197*$V$197</f>
        <v>0</v>
      </c>
      <c r="AC197" s="6">
        <f>$M$197*$W$197</f>
        <v>1754.6842199999999</v>
      </c>
      <c r="AD197" s="6">
        <f>$O$197*$X$197</f>
        <v>1056.4336799999999</v>
      </c>
      <c r="AE197" s="6">
        <f>$K$197*$Y$197</f>
        <v>0</v>
      </c>
      <c r="AF197" s="6">
        <f ca="1">$M$197*$Z$197</f>
        <v>1678.0497220683078</v>
      </c>
      <c r="AG197" s="6">
        <f>$O$197*$AA$197</f>
        <v>1283.4019451509312</v>
      </c>
    </row>
    <row r="198" spans="1:33" ht="11.25" customHeight="1" x14ac:dyDescent="0.3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31</v>
      </c>
      <c r="F198" s="4" t="s">
        <v>25</v>
      </c>
      <c r="G198" s="4" t="s">
        <v>25</v>
      </c>
      <c r="H198" s="4" t="s">
        <v>25</v>
      </c>
      <c r="I198" s="5">
        <v>44470</v>
      </c>
      <c r="J198" s="6">
        <v>0</v>
      </c>
      <c r="K198" s="6">
        <v>0</v>
      </c>
      <c r="L198" s="6">
        <v>-2.4E-2</v>
      </c>
      <c r="M198" s="6">
        <v>-2.4E-2</v>
      </c>
      <c r="N198" s="6">
        <v>-2.4E-2</v>
      </c>
      <c r="O198" s="6">
        <v>-2.4E-2</v>
      </c>
      <c r="P198" s="6">
        <v>0</v>
      </c>
      <c r="Q198" s="4" t="s">
        <v>26</v>
      </c>
      <c r="R198" s="4">
        <v>0</v>
      </c>
      <c r="S198" s="6">
        <v>0</v>
      </c>
      <c r="T198" s="6">
        <v>43</v>
      </c>
      <c r="U198" s="6">
        <v>74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331.26</v>
      </c>
      <c r="X198" s="6">
        <f>IF(ISERROR(VLOOKUP($U$198,'TAR FIN'!$A$1:$O$85,15,0)),0,VLOOKUP($U$198,'TAR FIN'!$A$1:$O$85,15,0))</f>
        <v>199.44</v>
      </c>
      <c r="Y198" s="6"/>
      <c r="Z198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98" s="6">
        <f>('TE BE'!$AB$14+'TE BF'!$AB$14+'TE CVA'!$AB$14)*(1-CUSTOS!$M$36)</f>
        <v>242.2884548142215</v>
      </c>
      <c r="AB198" s="6">
        <f>$K$198*$V$198</f>
        <v>0</v>
      </c>
      <c r="AC198" s="6">
        <f>$M$198*$W$198</f>
        <v>-7.95024</v>
      </c>
      <c r="AD198" s="6">
        <f>$O$198*$X$198</f>
        <v>-4.7865599999999997</v>
      </c>
      <c r="AE198" s="6">
        <f>$K$198*$Y$198</f>
        <v>0</v>
      </c>
      <c r="AF198" s="6">
        <f ca="1">$M$198*$Z$198</f>
        <v>-7.6030193184140815</v>
      </c>
      <c r="AG198" s="6">
        <f>$O$198*$AA$198</f>
        <v>-5.8149229155413158</v>
      </c>
    </row>
    <row r="199" spans="1:33" ht="11.25" customHeight="1" x14ac:dyDescent="0.3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31</v>
      </c>
      <c r="F199" s="4" t="s">
        <v>25</v>
      </c>
      <c r="G199" s="4" t="s">
        <v>25</v>
      </c>
      <c r="H199" s="4" t="s">
        <v>25</v>
      </c>
      <c r="I199" s="5">
        <v>44501</v>
      </c>
      <c r="J199" s="6">
        <v>0</v>
      </c>
      <c r="K199" s="6">
        <v>0</v>
      </c>
      <c r="L199" s="6">
        <v>5.4630000000000001</v>
      </c>
      <c r="M199" s="6">
        <v>5.4630000000000001</v>
      </c>
      <c r="N199" s="6">
        <v>5.4630000000000001</v>
      </c>
      <c r="O199" s="6">
        <v>5.4630000000000001</v>
      </c>
      <c r="P199" s="6">
        <v>70</v>
      </c>
      <c r="Q199" s="4" t="s">
        <v>26</v>
      </c>
      <c r="R199" s="4">
        <v>0</v>
      </c>
      <c r="S199" s="6">
        <v>0</v>
      </c>
      <c r="T199" s="6">
        <v>43</v>
      </c>
      <c r="U199" s="6">
        <v>74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331.26</v>
      </c>
      <c r="X199" s="6">
        <f>IF(ISERROR(VLOOKUP($U$199,'TAR FIN'!$A$1:$O$85,15,0)),0,VLOOKUP($U$199,'TAR FIN'!$A$1:$O$85,15,0))</f>
        <v>199.44</v>
      </c>
      <c r="Y199" s="6"/>
      <c r="Z199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99" s="6">
        <f>('TE BE'!$AB$14+'TE BF'!$AB$14+'TE CVA'!$AB$14)*(1-CUSTOS!$M$36)</f>
        <v>242.2884548142215</v>
      </c>
      <c r="AB199" s="6">
        <f>$K$199*$V$199</f>
        <v>0</v>
      </c>
      <c r="AC199" s="6">
        <f>$M$199*$W$199</f>
        <v>1809.67338</v>
      </c>
      <c r="AD199" s="6">
        <f>$O$199*$X$199</f>
        <v>1089.54072</v>
      </c>
      <c r="AE199" s="6">
        <f>$K$199*$Y$199</f>
        <v>0</v>
      </c>
      <c r="AF199" s="6">
        <f ca="1">$M$199*$Z$199</f>
        <v>1730.6372723540053</v>
      </c>
      <c r="AG199" s="6">
        <f>$O$199*$AA$199</f>
        <v>1323.6218286500921</v>
      </c>
    </row>
    <row r="200" spans="1:33" ht="11.25" customHeight="1" x14ac:dyDescent="0.3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31</v>
      </c>
      <c r="F200" s="4" t="s">
        <v>25</v>
      </c>
      <c r="G200" s="4" t="s">
        <v>25</v>
      </c>
      <c r="H200" s="4" t="s">
        <v>25</v>
      </c>
      <c r="I200" s="5">
        <v>44531</v>
      </c>
      <c r="J200" s="6">
        <v>0</v>
      </c>
      <c r="K200" s="6">
        <v>0</v>
      </c>
      <c r="L200" s="6">
        <v>6.6680000000000001</v>
      </c>
      <c r="M200" s="6">
        <v>6.6680000000000001</v>
      </c>
      <c r="N200" s="6">
        <v>6.6680000000000001</v>
      </c>
      <c r="O200" s="6">
        <v>6.6680000000000001</v>
      </c>
      <c r="P200" s="6">
        <v>73</v>
      </c>
      <c r="Q200" s="4" t="s">
        <v>26</v>
      </c>
      <c r="R200" s="4">
        <v>0</v>
      </c>
      <c r="S200" s="6">
        <v>0</v>
      </c>
      <c r="T200" s="6">
        <v>43</v>
      </c>
      <c r="U200" s="6">
        <v>74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331.26</v>
      </c>
      <c r="X200" s="6">
        <f>IF(ISERROR(VLOOKUP($U$200,'TAR FIN'!$A$1:$O$85,15,0)),0,VLOOKUP($U$200,'TAR FIN'!$A$1:$O$85,15,0))</f>
        <v>199.44</v>
      </c>
      <c r="Y200" s="6"/>
      <c r="Z200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0" s="6">
        <f>('TE BE'!$AB$14+'TE BF'!$AB$14+'TE CVA'!$AB$14)*(1-CUSTOS!$M$36)</f>
        <v>242.2884548142215</v>
      </c>
      <c r="AB200" s="6">
        <f>$K$200*$V$200</f>
        <v>0</v>
      </c>
      <c r="AC200" s="6">
        <f>$M$200*$W$200</f>
        <v>2208.84168</v>
      </c>
      <c r="AD200" s="6">
        <f>$O$200*$X$200</f>
        <v>1329.86592</v>
      </c>
      <c r="AE200" s="6">
        <f>$K$200*$Y$200</f>
        <v>0</v>
      </c>
      <c r="AF200" s="6">
        <f ca="1">$M$200*$Z$200</f>
        <v>2112.3722006327125</v>
      </c>
      <c r="AG200" s="6">
        <f>$O$200*$AA$200</f>
        <v>1615.5794167012289</v>
      </c>
    </row>
    <row r="201" spans="1:33" ht="11.25" customHeight="1" x14ac:dyDescent="0.3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31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7.4980000000000002</v>
      </c>
      <c r="M201" s="6">
        <v>7.4980000000000002</v>
      </c>
      <c r="N201" s="6">
        <v>7.4980000000000002</v>
      </c>
      <c r="O201" s="6">
        <v>7.4980000000000002</v>
      </c>
      <c r="P201" s="6">
        <v>71</v>
      </c>
      <c r="Q201" s="4" t="s">
        <v>26</v>
      </c>
      <c r="R201" s="4">
        <v>0</v>
      </c>
      <c r="S201" s="6">
        <v>0</v>
      </c>
      <c r="T201" s="6">
        <v>43</v>
      </c>
      <c r="U201" s="6">
        <v>74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331.26</v>
      </c>
      <c r="X201" s="6">
        <f>IF(ISERROR(VLOOKUP($U$201,'TAR FIN'!$A$1:$O$85,15,0)),0,VLOOKUP($U$201,'TAR FIN'!$A$1:$O$85,15,0))</f>
        <v>199.44</v>
      </c>
      <c r="Y201" s="6"/>
      <c r="Z201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1" s="6">
        <f>('TE BE'!$AB$14+'TE BF'!$AB$14+'TE CVA'!$AB$14)*(1-CUSTOS!$M$36)</f>
        <v>242.2884548142215</v>
      </c>
      <c r="AB201" s="6">
        <f>$K$201*$V$201</f>
        <v>0</v>
      </c>
      <c r="AC201" s="6">
        <f>$M$201*$W$201</f>
        <v>2483.78748</v>
      </c>
      <c r="AD201" s="6">
        <f>$O$201*$X$201</f>
        <v>1495.40112</v>
      </c>
      <c r="AE201" s="6">
        <f>$K$201*$Y$201</f>
        <v>0</v>
      </c>
      <c r="AF201" s="6">
        <f ca="1">$M$201*$Z$201</f>
        <v>2375.3099520611995</v>
      </c>
      <c r="AG201" s="6">
        <f>$O$201*$AA$201</f>
        <v>1816.6788341970328</v>
      </c>
    </row>
    <row r="202" spans="1:33" ht="11.25" customHeight="1" x14ac:dyDescent="0.3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31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7.2069999999999999</v>
      </c>
      <c r="M202" s="6">
        <v>7.2069999999999999</v>
      </c>
      <c r="N202" s="6">
        <v>7.2069999999999999</v>
      </c>
      <c r="O202" s="6">
        <v>7.2069999999999999</v>
      </c>
      <c r="P202" s="6">
        <v>74</v>
      </c>
      <c r="Q202" s="4" t="s">
        <v>26</v>
      </c>
      <c r="R202" s="4">
        <v>0</v>
      </c>
      <c r="S202" s="6">
        <v>0</v>
      </c>
      <c r="T202" s="6">
        <v>43</v>
      </c>
      <c r="U202" s="6">
        <v>74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331.26</v>
      </c>
      <c r="X202" s="6">
        <f>IF(ISERROR(VLOOKUP($U$202,'TAR FIN'!$A$1:$O$85,15,0)),0,VLOOKUP($U$202,'TAR FIN'!$A$1:$O$85,15,0))</f>
        <v>199.44</v>
      </c>
      <c r="Y202" s="6"/>
      <c r="Z202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2" s="6">
        <f>('TE BE'!$AB$14+'TE BF'!$AB$14+'TE CVA'!$AB$14)*(1-CUSTOS!$M$36)</f>
        <v>242.2884548142215</v>
      </c>
      <c r="AB202" s="6">
        <f>$K$202*$V$202</f>
        <v>0</v>
      </c>
      <c r="AC202" s="6">
        <f>$M$202*$W$202</f>
        <v>2387.3908200000001</v>
      </c>
      <c r="AD202" s="6">
        <f>$O$202*$X$202</f>
        <v>1437.3640800000001</v>
      </c>
      <c r="AE202" s="6">
        <f>$K$202*$Y$202</f>
        <v>0</v>
      </c>
      <c r="AF202" s="6">
        <f ca="1">$M$202*$Z$202</f>
        <v>2283.1233428254286</v>
      </c>
      <c r="AG202" s="6">
        <f>$O$202*$AA$202</f>
        <v>1746.1728938460942</v>
      </c>
    </row>
    <row r="203" spans="1:33" ht="11.25" customHeight="1" x14ac:dyDescent="0.3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31</v>
      </c>
      <c r="F203" s="4" t="s">
        <v>25</v>
      </c>
      <c r="G203" s="4" t="s">
        <v>25</v>
      </c>
      <c r="H203" s="4" t="s">
        <v>25</v>
      </c>
      <c r="I203" s="5">
        <v>44621</v>
      </c>
      <c r="J203" s="6">
        <v>0</v>
      </c>
      <c r="K203" s="6">
        <v>0</v>
      </c>
      <c r="L203" s="6">
        <v>7.8490000000000002</v>
      </c>
      <c r="M203" s="6">
        <v>7.8490000000000002</v>
      </c>
      <c r="N203" s="6">
        <v>7.8490000000000002</v>
      </c>
      <c r="O203" s="6">
        <v>7.8490000000000002</v>
      </c>
      <c r="P203" s="6">
        <v>72</v>
      </c>
      <c r="Q203" s="4" t="s">
        <v>26</v>
      </c>
      <c r="R203" s="4">
        <v>0</v>
      </c>
      <c r="S203" s="6">
        <v>0</v>
      </c>
      <c r="T203" s="6">
        <v>43</v>
      </c>
      <c r="U203" s="6">
        <v>74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331.26</v>
      </c>
      <c r="X203" s="6">
        <f>IF(ISERROR(VLOOKUP($U$203,'TAR FIN'!$A$1:$O$85,15,0)),0,VLOOKUP($U$203,'TAR FIN'!$A$1:$O$85,15,0))</f>
        <v>199.44</v>
      </c>
      <c r="Y203" s="6"/>
      <c r="Z203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3" s="6">
        <f>('TE BE'!$AB$14+'TE BF'!$AB$14+'TE CVA'!$AB$14)*(1-CUSTOS!$M$36)</f>
        <v>242.2884548142215</v>
      </c>
      <c r="AB203" s="6">
        <f>$K$203*$V$203</f>
        <v>0</v>
      </c>
      <c r="AC203" s="6">
        <f>$M$203*$W$203</f>
        <v>2600.0597400000001</v>
      </c>
      <c r="AD203" s="6">
        <f>$O$203*$X$203</f>
        <v>1565.4045599999999</v>
      </c>
      <c r="AE203" s="6">
        <f>$K$203*$Y$203</f>
        <v>0</v>
      </c>
      <c r="AF203" s="6">
        <f ca="1">$M$203*$Z$203</f>
        <v>2486.5041095930055</v>
      </c>
      <c r="AG203" s="6">
        <f>$O$203*$AA$203</f>
        <v>1901.7220818368246</v>
      </c>
    </row>
    <row r="204" spans="1:33" ht="11.25" customHeight="1" x14ac:dyDescent="0.3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31</v>
      </c>
      <c r="F204" s="4" t="s">
        <v>25</v>
      </c>
      <c r="G204" s="4" t="s">
        <v>25</v>
      </c>
      <c r="H204" s="4" t="s">
        <v>25</v>
      </c>
      <c r="I204" s="5">
        <v>44652</v>
      </c>
      <c r="J204" s="6">
        <v>0</v>
      </c>
      <c r="K204" s="6">
        <v>0</v>
      </c>
      <c r="L204" s="6">
        <v>7.9470000000000001</v>
      </c>
      <c r="M204" s="6">
        <v>7.9470000000000001</v>
      </c>
      <c r="N204" s="6">
        <v>7.9470000000000001</v>
      </c>
      <c r="O204" s="6">
        <v>7.9470000000000001</v>
      </c>
      <c r="P204" s="6">
        <v>79</v>
      </c>
      <c r="Q204" s="4" t="s">
        <v>26</v>
      </c>
      <c r="R204" s="4">
        <v>0</v>
      </c>
      <c r="S204" s="6">
        <v>0</v>
      </c>
      <c r="T204" s="6">
        <v>43</v>
      </c>
      <c r="U204" s="6">
        <v>74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331.26</v>
      </c>
      <c r="X204" s="6">
        <f>IF(ISERROR(VLOOKUP($U$204,'TAR FIN'!$A$1:$O$85,15,0)),0,VLOOKUP($U$204,'TAR FIN'!$A$1:$O$85,15,0))</f>
        <v>199.44</v>
      </c>
      <c r="Y204" s="6"/>
      <c r="Z204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4" s="6">
        <f>('TE BE'!$AB$14+'TE BF'!$AB$14+'TE CVA'!$AB$14)*(1-CUSTOS!$M$36)</f>
        <v>242.2884548142215</v>
      </c>
      <c r="AB204" s="6">
        <f>$K$204*$V$204</f>
        <v>0</v>
      </c>
      <c r="AC204" s="6">
        <f>$M$204*$W$204</f>
        <v>2632.52322</v>
      </c>
      <c r="AD204" s="6">
        <f>$O$204*$X$204</f>
        <v>1584.9496799999999</v>
      </c>
      <c r="AE204" s="6">
        <f>$K$204*$Y$204</f>
        <v>0</v>
      </c>
      <c r="AF204" s="6">
        <f ca="1">$M$204*$Z$204</f>
        <v>2517.5497718098627</v>
      </c>
      <c r="AG204" s="6">
        <f>$O$204*$AA$204</f>
        <v>1925.4663504086182</v>
      </c>
    </row>
    <row r="205" spans="1:33" ht="11.25" customHeight="1" x14ac:dyDescent="0.3">
      <c r="A205" s="4" t="s">
        <v>21</v>
      </c>
      <c r="B205" s="4" t="s">
        <v>22</v>
      </c>
      <c r="C205" s="4" t="s">
        <v>23</v>
      </c>
      <c r="D205" s="4" t="s">
        <v>24</v>
      </c>
      <c r="E205" s="4" t="s">
        <v>31</v>
      </c>
      <c r="F205" s="4" t="s">
        <v>25</v>
      </c>
      <c r="G205" s="4" t="s">
        <v>25</v>
      </c>
      <c r="H205" s="4" t="s">
        <v>25</v>
      </c>
      <c r="I205" s="5">
        <v>44682</v>
      </c>
      <c r="J205" s="6">
        <v>0</v>
      </c>
      <c r="K205" s="6">
        <v>0</v>
      </c>
      <c r="L205" s="6">
        <v>6.3929999999999998</v>
      </c>
      <c r="M205" s="6">
        <v>6.3929999999999998</v>
      </c>
      <c r="N205" s="6">
        <v>6.3929999999999998</v>
      </c>
      <c r="O205" s="6">
        <v>6.3929999999999998</v>
      </c>
      <c r="P205" s="6">
        <v>72</v>
      </c>
      <c r="Q205" s="4" t="s">
        <v>26</v>
      </c>
      <c r="R205" s="4">
        <v>0</v>
      </c>
      <c r="S205" s="6">
        <v>0</v>
      </c>
      <c r="T205" s="6">
        <v>43</v>
      </c>
      <c r="U205" s="6">
        <v>74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331.26</v>
      </c>
      <c r="X205" s="6">
        <f>IF(ISERROR(VLOOKUP($U$205,'TAR FIN'!$A$1:$O$85,15,0)),0,VLOOKUP($U$205,'TAR FIN'!$A$1:$O$85,15,0))</f>
        <v>199.44</v>
      </c>
      <c r="Y205" s="6"/>
      <c r="Z205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5" s="6">
        <f>('TE BE'!$AB$14+'TE BF'!$AB$14+'TE CVA'!$AB$14)*(1-CUSTOS!$M$36)</f>
        <v>242.2884548142215</v>
      </c>
      <c r="AB205" s="6">
        <f>$K$205*$V$205</f>
        <v>0</v>
      </c>
      <c r="AC205" s="6">
        <f>$M$205*$W$205</f>
        <v>2117.7451799999999</v>
      </c>
      <c r="AD205" s="6">
        <f>$O$205*$X$205</f>
        <v>1275.01992</v>
      </c>
      <c r="AE205" s="6">
        <f>$K$205*$Y$205</f>
        <v>0</v>
      </c>
      <c r="AF205" s="6">
        <f ca="1">$M$205*$Z$205</f>
        <v>2025.2542709425509</v>
      </c>
      <c r="AG205" s="6">
        <f>$O$205*$AA$205</f>
        <v>1548.950091627318</v>
      </c>
    </row>
    <row r="206" spans="1:33" ht="11.25" customHeight="1" x14ac:dyDescent="0.3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31</v>
      </c>
      <c r="F206" s="4" t="s">
        <v>25</v>
      </c>
      <c r="G206" s="4" t="s">
        <v>25</v>
      </c>
      <c r="H206" s="4" t="s">
        <v>25</v>
      </c>
      <c r="I206" s="5">
        <v>44713</v>
      </c>
      <c r="J206" s="6">
        <v>0</v>
      </c>
      <c r="K206" s="6">
        <v>0</v>
      </c>
      <c r="L206" s="6">
        <v>7.9829999999999997</v>
      </c>
      <c r="M206" s="6">
        <v>7.9829999999999997</v>
      </c>
      <c r="N206" s="6">
        <v>7.9829999999999997</v>
      </c>
      <c r="O206" s="6">
        <v>7.9829999999999997</v>
      </c>
      <c r="P206" s="6">
        <v>107</v>
      </c>
      <c r="Q206" s="4" t="s">
        <v>26</v>
      </c>
      <c r="R206" s="4">
        <v>0</v>
      </c>
      <c r="S206" s="6">
        <v>0</v>
      </c>
      <c r="T206" s="6">
        <v>43</v>
      </c>
      <c r="U206" s="6">
        <v>74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331.26</v>
      </c>
      <c r="X206" s="6">
        <f>IF(ISERROR(VLOOKUP($U$206,'TAR FIN'!$A$1:$O$85,15,0)),0,VLOOKUP($U$206,'TAR FIN'!$A$1:$O$85,15,0))</f>
        <v>199.44</v>
      </c>
      <c r="Y206" s="6"/>
      <c r="Z206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6" s="6">
        <f>('TE BE'!$AB$14+'TE BF'!$AB$14+'TE CVA'!$AB$14)*(1-CUSTOS!$M$36)</f>
        <v>242.2884548142215</v>
      </c>
      <c r="AB206" s="6">
        <f>$K$206*$V$206</f>
        <v>0</v>
      </c>
      <c r="AC206" s="6">
        <f>$M$206*$W$206</f>
        <v>2644.4485799999998</v>
      </c>
      <c r="AD206" s="6">
        <f>$O$206*$X$206</f>
        <v>1592.12952</v>
      </c>
      <c r="AE206" s="6">
        <f>$K$206*$Y$206</f>
        <v>0</v>
      </c>
      <c r="AF206" s="6">
        <f ca="1">$M$206*$Z$206</f>
        <v>2528.9543007874836</v>
      </c>
      <c r="AG206" s="6">
        <f>$O$206*$AA$206</f>
        <v>1934.1887347819302</v>
      </c>
    </row>
    <row r="207" spans="1:33" ht="11.25" customHeight="1" x14ac:dyDescent="0.3">
      <c r="A207" s="4" t="s">
        <v>27</v>
      </c>
      <c r="B207" s="4" t="s">
        <v>22</v>
      </c>
      <c r="C207" s="4" t="s">
        <v>23</v>
      </c>
      <c r="D207" s="4" t="s">
        <v>24</v>
      </c>
      <c r="E207" s="4" t="s">
        <v>31</v>
      </c>
      <c r="F207" s="4" t="s">
        <v>25</v>
      </c>
      <c r="G207" s="4" t="s">
        <v>25</v>
      </c>
      <c r="H207" s="4" t="s">
        <v>25</v>
      </c>
      <c r="I207" s="5">
        <v>44713</v>
      </c>
      <c r="J207" s="6">
        <v>0</v>
      </c>
      <c r="K207" s="6">
        <v>0</v>
      </c>
      <c r="L207" s="6">
        <v>0.24</v>
      </c>
      <c r="M207" s="6">
        <v>0.24</v>
      </c>
      <c r="N207" s="6">
        <v>0.24</v>
      </c>
      <c r="O207" s="6">
        <v>0.24</v>
      </c>
      <c r="P207" s="6">
        <v>0</v>
      </c>
      <c r="Q207" s="4" t="s">
        <v>26</v>
      </c>
      <c r="R207" s="4">
        <v>0</v>
      </c>
      <c r="S207" s="6">
        <v>0</v>
      </c>
      <c r="T207" s="6">
        <v>43</v>
      </c>
      <c r="U207" s="6">
        <v>74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331.26</v>
      </c>
      <c r="X207" s="6">
        <f>IF(ISERROR(VLOOKUP($U$207,'TAR FIN'!$A$1:$O$85,15,0)),0,VLOOKUP($U$207,'TAR FIN'!$A$1:$O$85,15,0))</f>
        <v>199.44</v>
      </c>
      <c r="Y207" s="6"/>
      <c r="Z207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7" s="6">
        <f>('TE BE'!$AB$14+'TE BF'!$AB$14+'TE CVA'!$AB$14)*(1-CUSTOS!$M$36)</f>
        <v>242.2884548142215</v>
      </c>
      <c r="AB207" s="6">
        <f>$K$207*$V$207</f>
        <v>0</v>
      </c>
      <c r="AC207" s="6">
        <f>$M$207*$W$207</f>
        <v>79.502399999999994</v>
      </c>
      <c r="AD207" s="6">
        <f>$O$207*$X$207</f>
        <v>47.865600000000001</v>
      </c>
      <c r="AE207" s="6">
        <f>$K$207*$Y$207</f>
        <v>0</v>
      </c>
      <c r="AF207" s="6">
        <f ca="1">$M$207*$Z$207</f>
        <v>76.030193184140813</v>
      </c>
      <c r="AG207" s="6">
        <f>$O$207*$AA$207</f>
        <v>58.14922915541316</v>
      </c>
    </row>
    <row r="208" spans="1:33" ht="11.25" customHeight="1" x14ac:dyDescent="0.3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31</v>
      </c>
      <c r="F208" s="4" t="s">
        <v>25</v>
      </c>
      <c r="G208" s="4" t="s">
        <v>25</v>
      </c>
      <c r="H208" s="4" t="s">
        <v>25</v>
      </c>
      <c r="I208" s="5">
        <v>44743</v>
      </c>
      <c r="J208" s="6">
        <v>0</v>
      </c>
      <c r="K208" s="6">
        <v>0</v>
      </c>
      <c r="L208" s="6">
        <v>7.3650000000000002</v>
      </c>
      <c r="M208" s="6">
        <v>7.3650000000000002</v>
      </c>
      <c r="N208" s="6">
        <v>7.3650000000000002</v>
      </c>
      <c r="O208" s="6">
        <v>7.3650000000000002</v>
      </c>
      <c r="P208" s="6">
        <v>111</v>
      </c>
      <c r="Q208" s="4" t="s">
        <v>26</v>
      </c>
      <c r="R208" s="4">
        <v>0</v>
      </c>
      <c r="S208" s="6">
        <v>0</v>
      </c>
      <c r="T208" s="6">
        <v>43</v>
      </c>
      <c r="U208" s="6">
        <v>74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331.26</v>
      </c>
      <c r="X208" s="6">
        <f>IF(ISERROR(VLOOKUP($U$208,'TAR FIN'!$A$1:$O$85,15,0)),0,VLOOKUP($U$208,'TAR FIN'!$A$1:$O$85,15,0))</f>
        <v>199.44</v>
      </c>
      <c r="Y208" s="6"/>
      <c r="Z208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8" s="6">
        <f>('TE BE'!$AB$14+'TE BF'!$AB$14+'TE CVA'!$AB$14)*(1-CUSTOS!$M$36)</f>
        <v>242.2884548142215</v>
      </c>
      <c r="AB208" s="6">
        <f>$K$208*$V$208</f>
        <v>0</v>
      </c>
      <c r="AC208" s="6">
        <f>$M$208*$W$208</f>
        <v>2439.7298999999998</v>
      </c>
      <c r="AD208" s="6">
        <f>$O$208*$X$208</f>
        <v>1468.8756000000001</v>
      </c>
      <c r="AE208" s="6">
        <f>$K$208*$Y$208</f>
        <v>0</v>
      </c>
      <c r="AF208" s="6">
        <f ca="1">$M$208*$Z$208</f>
        <v>2333.1765533383214</v>
      </c>
      <c r="AG208" s="6">
        <f>$O$208*$AA$208</f>
        <v>1784.4544697067413</v>
      </c>
    </row>
    <row r="209" spans="1:33" ht="11.25" customHeight="1" x14ac:dyDescent="0.3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31</v>
      </c>
      <c r="F209" s="4" t="s">
        <v>25</v>
      </c>
      <c r="G209" s="4" t="s">
        <v>25</v>
      </c>
      <c r="H209" s="4" t="s">
        <v>25</v>
      </c>
      <c r="I209" s="5">
        <v>44774</v>
      </c>
      <c r="J209" s="6">
        <v>0</v>
      </c>
      <c r="K209" s="6">
        <v>0</v>
      </c>
      <c r="L209" s="6">
        <v>7.2119999999999997</v>
      </c>
      <c r="M209" s="6">
        <v>7.2119999999999997</v>
      </c>
      <c r="N209" s="6">
        <v>7.2119999999999997</v>
      </c>
      <c r="O209" s="6">
        <v>7.2119999999999997</v>
      </c>
      <c r="P209" s="6">
        <v>88</v>
      </c>
      <c r="Q209" s="4" t="s">
        <v>26</v>
      </c>
      <c r="R209" s="4">
        <v>0</v>
      </c>
      <c r="S209" s="6">
        <v>0</v>
      </c>
      <c r="T209" s="6">
        <v>43</v>
      </c>
      <c r="U209" s="6">
        <v>74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331.26</v>
      </c>
      <c r="X209" s="6">
        <f>IF(ISERROR(VLOOKUP($U$209,'TAR FIN'!$A$1:$O$85,15,0)),0,VLOOKUP($U$209,'TAR FIN'!$A$1:$O$85,15,0))</f>
        <v>199.44</v>
      </c>
      <c r="Y209" s="6"/>
      <c r="Z209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209" s="6">
        <f>('TE BE'!$AB$14+'TE BF'!$AB$14+'TE CVA'!$AB$14)*(1-CUSTOS!$M$36)</f>
        <v>242.2884548142215</v>
      </c>
      <c r="AB209" s="6">
        <f>$K$209*$V$209</f>
        <v>0</v>
      </c>
      <c r="AC209" s="6">
        <f>$M$209*$W$209</f>
        <v>2389.0471199999997</v>
      </c>
      <c r="AD209" s="6">
        <f>$O$209*$X$209</f>
        <v>1438.3612799999999</v>
      </c>
      <c r="AE209" s="6">
        <f>$K$209*$Y$209</f>
        <v>0</v>
      </c>
      <c r="AF209" s="6">
        <f ca="1">$M$209*$Z$209</f>
        <v>2284.7073051834313</v>
      </c>
      <c r="AG209" s="6">
        <f>$O$209*$AA$209</f>
        <v>1747.3843361201655</v>
      </c>
    </row>
    <row r="210" spans="1:33" ht="11.25" customHeight="1" x14ac:dyDescent="0.3">
      <c r="A210" s="4" t="s">
        <v>21</v>
      </c>
      <c r="B210" s="4" t="s">
        <v>22</v>
      </c>
      <c r="C210" s="4" t="s">
        <v>23</v>
      </c>
      <c r="D210" s="4" t="s">
        <v>24</v>
      </c>
      <c r="E210" s="4" t="s">
        <v>32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0.19500000000000001</v>
      </c>
      <c r="M210" s="6">
        <v>0.19500000000000001</v>
      </c>
      <c r="N210" s="6">
        <v>0.19500000000000001</v>
      </c>
      <c r="O210" s="6">
        <v>0.19500000000000001</v>
      </c>
      <c r="P210" s="6">
        <v>3</v>
      </c>
      <c r="Q210" s="4" t="s">
        <v>26</v>
      </c>
      <c r="R210" s="4">
        <v>0</v>
      </c>
      <c r="S210" s="6">
        <v>0</v>
      </c>
      <c r="T210" s="6">
        <v>48</v>
      </c>
      <c r="U210" s="6">
        <v>71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368.07</v>
      </c>
      <c r="X210" s="6">
        <f>IF(ISERROR(VLOOKUP($U$210,'TAR FIN'!$A$1:$O$85,15,0)),0,VLOOKUP($U$210,'TAR FIN'!$A$1:$O$85,15,0))</f>
        <v>221.6</v>
      </c>
      <c r="Y210" s="6"/>
      <c r="Z210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0" s="6">
        <f>('TE BE'!$AB$15+'TE BF'!$AB$15+'TE CVA'!$AB$15)*(1-CUSTOS!$M$37)</f>
        <v>269.20939423802389</v>
      </c>
      <c r="AB210" s="6">
        <f>$K$210*$V$210</f>
        <v>0</v>
      </c>
      <c r="AC210" s="6">
        <f>$M$210*$W$210</f>
        <v>71.773650000000004</v>
      </c>
      <c r="AD210" s="6">
        <f>$O$210*$X$210</f>
        <v>43.212000000000003</v>
      </c>
      <c r="AE210" s="6">
        <f>$K$210*$Y$210</f>
        <v>0</v>
      </c>
      <c r="AF210" s="6">
        <f ca="1">$M$210*$Z$210</f>
        <v>68.638368846793782</v>
      </c>
      <c r="AG210" s="6">
        <f>$O$210*$AA$210</f>
        <v>52.495831876414663</v>
      </c>
    </row>
    <row r="211" spans="1:33" ht="11.25" customHeight="1" x14ac:dyDescent="0.3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32</v>
      </c>
      <c r="F211" s="4" t="s">
        <v>25</v>
      </c>
      <c r="G211" s="4" t="s">
        <v>25</v>
      </c>
      <c r="H211" s="4" t="s">
        <v>25</v>
      </c>
      <c r="I211" s="5">
        <v>44470</v>
      </c>
      <c r="J211" s="6">
        <v>0</v>
      </c>
      <c r="K211" s="6">
        <v>0</v>
      </c>
      <c r="L211" s="6">
        <v>1.1439999999999999</v>
      </c>
      <c r="M211" s="6">
        <v>1.1439999999999999</v>
      </c>
      <c r="N211" s="6">
        <v>1.1439999999999999</v>
      </c>
      <c r="O211" s="6">
        <v>1.1439999999999999</v>
      </c>
      <c r="P211" s="6">
        <v>14</v>
      </c>
      <c r="Q211" s="4" t="s">
        <v>26</v>
      </c>
      <c r="R211" s="4">
        <v>0</v>
      </c>
      <c r="S211" s="6">
        <v>0</v>
      </c>
      <c r="T211" s="6">
        <v>48</v>
      </c>
      <c r="U211" s="6">
        <v>71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368.07</v>
      </c>
      <c r="X211" s="6">
        <f>IF(ISERROR(VLOOKUP($U$211,'TAR FIN'!$A$1:$O$85,15,0)),0,VLOOKUP($U$211,'TAR FIN'!$A$1:$O$85,15,0))</f>
        <v>221.6</v>
      </c>
      <c r="Y211" s="6"/>
      <c r="Z211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1" s="6">
        <f>('TE BE'!$AB$15+'TE BF'!$AB$15+'TE CVA'!$AB$15)*(1-CUSTOS!$M$37)</f>
        <v>269.20939423802389</v>
      </c>
      <c r="AB211" s="6">
        <f>$K$211*$V$211</f>
        <v>0</v>
      </c>
      <c r="AC211" s="6">
        <f>$M$211*$W$211</f>
        <v>421.07207999999997</v>
      </c>
      <c r="AD211" s="6">
        <f>$O$211*$X$211</f>
        <v>253.51039999999998</v>
      </c>
      <c r="AE211" s="6">
        <f>$K$211*$Y$211</f>
        <v>0</v>
      </c>
      <c r="AF211" s="6">
        <f ca="1">$M$211*$Z$211</f>
        <v>402.67843056785682</v>
      </c>
      <c r="AG211" s="6">
        <f>$O$211*$AA$211</f>
        <v>307.97554700829932</v>
      </c>
    </row>
    <row r="212" spans="1:33" ht="11.25" customHeight="1" x14ac:dyDescent="0.3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32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-0.23</v>
      </c>
      <c r="M212" s="6">
        <v>-0.23</v>
      </c>
      <c r="N212" s="6">
        <v>-0.23</v>
      </c>
      <c r="O212" s="6">
        <v>-0.23</v>
      </c>
      <c r="P212" s="6">
        <v>0</v>
      </c>
      <c r="Q212" s="4" t="s">
        <v>26</v>
      </c>
      <c r="R212" s="4">
        <v>0</v>
      </c>
      <c r="S212" s="6">
        <v>0</v>
      </c>
      <c r="T212" s="6">
        <v>48</v>
      </c>
      <c r="U212" s="6">
        <v>71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368.07</v>
      </c>
      <c r="X212" s="6">
        <f>IF(ISERROR(VLOOKUP($U$212,'TAR FIN'!$A$1:$O$85,15,0)),0,VLOOKUP($U$212,'TAR FIN'!$A$1:$O$85,15,0))</f>
        <v>221.6</v>
      </c>
      <c r="Y212" s="6"/>
      <c r="Z212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2" s="6">
        <f>('TE BE'!$AB$15+'TE BF'!$AB$15+'TE CVA'!$AB$15)*(1-CUSTOS!$M$37)</f>
        <v>269.20939423802389</v>
      </c>
      <c r="AB212" s="6">
        <f>$K$212*$V$212</f>
        <v>0</v>
      </c>
      <c r="AC212" s="6">
        <f>$M$212*$W$212</f>
        <v>-84.656099999999995</v>
      </c>
      <c r="AD212" s="6">
        <f>$O$212*$X$212</f>
        <v>-50.968000000000004</v>
      </c>
      <c r="AE212" s="6">
        <f>$K$212*$Y$212</f>
        <v>0</v>
      </c>
      <c r="AF212" s="6">
        <f ca="1">$M$212*$Z$212</f>
        <v>-80.958076075705492</v>
      </c>
      <c r="AG212" s="6">
        <f>$O$212*$AA$212</f>
        <v>-61.918160674745501</v>
      </c>
    </row>
    <row r="213" spans="1:33" ht="11.25" customHeight="1" x14ac:dyDescent="0.3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32</v>
      </c>
      <c r="F213" s="4" t="s">
        <v>25</v>
      </c>
      <c r="G213" s="4" t="s">
        <v>25</v>
      </c>
      <c r="H213" s="4" t="s">
        <v>25</v>
      </c>
      <c r="I213" s="5">
        <v>44501</v>
      </c>
      <c r="J213" s="6">
        <v>0</v>
      </c>
      <c r="K213" s="6">
        <v>0</v>
      </c>
      <c r="L213" s="6">
        <v>1.03</v>
      </c>
      <c r="M213" s="6">
        <v>1.03</v>
      </c>
      <c r="N213" s="6">
        <v>1.03</v>
      </c>
      <c r="O213" s="6">
        <v>1.03</v>
      </c>
      <c r="P213" s="6">
        <v>18</v>
      </c>
      <c r="Q213" s="4" t="s">
        <v>26</v>
      </c>
      <c r="R213" s="4">
        <v>0</v>
      </c>
      <c r="S213" s="6">
        <v>0</v>
      </c>
      <c r="T213" s="6">
        <v>48</v>
      </c>
      <c r="U213" s="6">
        <v>71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368.07</v>
      </c>
      <c r="X213" s="6">
        <f>IF(ISERROR(VLOOKUP($U$213,'TAR FIN'!$A$1:$O$85,15,0)),0,VLOOKUP($U$213,'TAR FIN'!$A$1:$O$85,15,0))</f>
        <v>221.6</v>
      </c>
      <c r="Y213" s="6"/>
      <c r="Z213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3" s="6">
        <f>('TE BE'!$AB$15+'TE BF'!$AB$15+'TE CVA'!$AB$15)*(1-CUSTOS!$M$37)</f>
        <v>269.20939423802389</v>
      </c>
      <c r="AB213" s="6">
        <f>$K$213*$V$213</f>
        <v>0</v>
      </c>
      <c r="AC213" s="6">
        <f>$M$213*$W$213</f>
        <v>379.1121</v>
      </c>
      <c r="AD213" s="6">
        <f>$O$213*$X$213</f>
        <v>228.24799999999999</v>
      </c>
      <c r="AE213" s="6">
        <f>$K$213*$Y$213</f>
        <v>0</v>
      </c>
      <c r="AF213" s="6">
        <f ca="1">$M$213*$Z$213</f>
        <v>362.55138416511591</v>
      </c>
      <c r="AG213" s="6">
        <f>$O$213*$AA$213</f>
        <v>277.28567606516464</v>
      </c>
    </row>
    <row r="214" spans="1:33" ht="11.25" customHeight="1" x14ac:dyDescent="0.3">
      <c r="A214" s="4" t="s">
        <v>21</v>
      </c>
      <c r="B214" s="4" t="s">
        <v>22</v>
      </c>
      <c r="C214" s="4" t="s">
        <v>23</v>
      </c>
      <c r="D214" s="4" t="s">
        <v>24</v>
      </c>
      <c r="E214" s="4" t="s">
        <v>32</v>
      </c>
      <c r="F214" s="4" t="s">
        <v>25</v>
      </c>
      <c r="G214" s="4" t="s">
        <v>25</v>
      </c>
      <c r="H214" s="4" t="s">
        <v>25</v>
      </c>
      <c r="I214" s="5">
        <v>44531</v>
      </c>
      <c r="J214" s="6">
        <v>0</v>
      </c>
      <c r="K214" s="6">
        <v>0</v>
      </c>
      <c r="L214" s="6">
        <v>1.5940000000000001</v>
      </c>
      <c r="M214" s="6">
        <v>1.5940000000000001</v>
      </c>
      <c r="N214" s="6">
        <v>1.5940000000000001</v>
      </c>
      <c r="O214" s="6">
        <v>1.5940000000000001</v>
      </c>
      <c r="P214" s="6">
        <v>22</v>
      </c>
      <c r="Q214" s="4" t="s">
        <v>26</v>
      </c>
      <c r="R214" s="4">
        <v>0</v>
      </c>
      <c r="S214" s="6">
        <v>0</v>
      </c>
      <c r="T214" s="6">
        <v>48</v>
      </c>
      <c r="U214" s="6">
        <v>71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368.07</v>
      </c>
      <c r="X214" s="6">
        <f>IF(ISERROR(VLOOKUP($U$214,'TAR FIN'!$A$1:$O$85,15,0)),0,VLOOKUP($U$214,'TAR FIN'!$A$1:$O$85,15,0))</f>
        <v>221.6</v>
      </c>
      <c r="Y214" s="6"/>
      <c r="Z214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4" s="6">
        <f>('TE BE'!$AB$15+'TE BF'!$AB$15+'TE CVA'!$AB$15)*(1-CUSTOS!$M$37)</f>
        <v>269.20939423802389</v>
      </c>
      <c r="AB214" s="6">
        <f>$K$214*$V$214</f>
        <v>0</v>
      </c>
      <c r="AC214" s="6">
        <f>$M$214*$W$214</f>
        <v>586.70357999999999</v>
      </c>
      <c r="AD214" s="6">
        <f>$O$214*$X$214</f>
        <v>353.23040000000003</v>
      </c>
      <c r="AE214" s="6">
        <f>$K$214*$Y$214</f>
        <v>0</v>
      </c>
      <c r="AF214" s="6">
        <f ca="1">$M$214*$Z$214</f>
        <v>561.07466636815025</v>
      </c>
      <c r="AG214" s="6">
        <f>$O$214*$AA$214</f>
        <v>429.11977441541012</v>
      </c>
    </row>
    <row r="215" spans="1:33" ht="11.25" customHeight="1" x14ac:dyDescent="0.3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32</v>
      </c>
      <c r="F215" s="4" t="s">
        <v>25</v>
      </c>
      <c r="G215" s="4" t="s">
        <v>25</v>
      </c>
      <c r="H215" s="4" t="s">
        <v>25</v>
      </c>
      <c r="I215" s="5">
        <v>44562</v>
      </c>
      <c r="J215" s="6">
        <v>0</v>
      </c>
      <c r="K215" s="6">
        <v>0</v>
      </c>
      <c r="L215" s="6">
        <v>2.44</v>
      </c>
      <c r="M215" s="6">
        <v>2.44</v>
      </c>
      <c r="N215" s="6">
        <v>2.44</v>
      </c>
      <c r="O215" s="6">
        <v>2.44</v>
      </c>
      <c r="P215" s="6">
        <v>29</v>
      </c>
      <c r="Q215" s="4" t="s">
        <v>26</v>
      </c>
      <c r="R215" s="4">
        <v>0</v>
      </c>
      <c r="S215" s="6">
        <v>0</v>
      </c>
      <c r="T215" s="6">
        <v>48</v>
      </c>
      <c r="U215" s="6">
        <v>71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368.07</v>
      </c>
      <c r="X215" s="6">
        <f>IF(ISERROR(VLOOKUP($U$215,'TAR FIN'!$A$1:$O$85,15,0)),0,VLOOKUP($U$215,'TAR FIN'!$A$1:$O$85,15,0))</f>
        <v>221.6</v>
      </c>
      <c r="Y215" s="6"/>
      <c r="Z215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5" s="6">
        <f>('TE BE'!$AB$15+'TE BF'!$AB$15+'TE CVA'!$AB$15)*(1-CUSTOS!$M$37)</f>
        <v>269.20939423802389</v>
      </c>
      <c r="AB215" s="6">
        <f>$K$215*$V$215</f>
        <v>0</v>
      </c>
      <c r="AC215" s="6">
        <f>$M$215*$W$215</f>
        <v>898.09079999999994</v>
      </c>
      <c r="AD215" s="6">
        <f>$O$215*$X$215</f>
        <v>540.70399999999995</v>
      </c>
      <c r="AE215" s="6">
        <f>$K$215*$Y$215</f>
        <v>0</v>
      </c>
      <c r="AF215" s="6">
        <f ca="1">$M$215*$Z$215</f>
        <v>858.85958967270176</v>
      </c>
      <c r="AG215" s="6">
        <f>$O$215*$AA$215</f>
        <v>656.87092194077832</v>
      </c>
    </row>
    <row r="216" spans="1:33" ht="11.25" customHeight="1" x14ac:dyDescent="0.3">
      <c r="A216" s="4" t="s">
        <v>21</v>
      </c>
      <c r="B216" s="4" t="s">
        <v>22</v>
      </c>
      <c r="C216" s="4" t="s">
        <v>23</v>
      </c>
      <c r="D216" s="4" t="s">
        <v>24</v>
      </c>
      <c r="E216" s="4" t="s">
        <v>32</v>
      </c>
      <c r="F216" s="4" t="s">
        <v>25</v>
      </c>
      <c r="G216" s="4" t="s">
        <v>25</v>
      </c>
      <c r="H216" s="4" t="s">
        <v>25</v>
      </c>
      <c r="I216" s="5">
        <v>44593</v>
      </c>
      <c r="J216" s="6">
        <v>0</v>
      </c>
      <c r="K216" s="6">
        <v>0</v>
      </c>
      <c r="L216" s="6">
        <v>2.125</v>
      </c>
      <c r="M216" s="6">
        <v>2.125</v>
      </c>
      <c r="N216" s="6">
        <v>2.125</v>
      </c>
      <c r="O216" s="6">
        <v>2.125</v>
      </c>
      <c r="P216" s="6">
        <v>26</v>
      </c>
      <c r="Q216" s="4" t="s">
        <v>26</v>
      </c>
      <c r="R216" s="4">
        <v>0</v>
      </c>
      <c r="S216" s="6">
        <v>0</v>
      </c>
      <c r="T216" s="6">
        <v>48</v>
      </c>
      <c r="U216" s="6">
        <v>71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368.07</v>
      </c>
      <c r="X216" s="6">
        <f>IF(ISERROR(VLOOKUP($U$216,'TAR FIN'!$A$1:$O$85,15,0)),0,VLOOKUP($U$216,'TAR FIN'!$A$1:$O$85,15,0))</f>
        <v>221.6</v>
      </c>
      <c r="Y216" s="6"/>
      <c r="Z216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6" s="6">
        <f>('TE BE'!$AB$15+'TE BF'!$AB$15+'TE CVA'!$AB$15)*(1-CUSTOS!$M$37)</f>
        <v>269.20939423802389</v>
      </c>
      <c r="AB216" s="6">
        <f>$K$216*$V$216</f>
        <v>0</v>
      </c>
      <c r="AC216" s="6">
        <f>$M$216*$W$216</f>
        <v>782.14874999999995</v>
      </c>
      <c r="AD216" s="6">
        <f>$O$216*$X$216</f>
        <v>470.9</v>
      </c>
      <c r="AE216" s="6">
        <f>$K$216*$Y$216</f>
        <v>0</v>
      </c>
      <c r="AF216" s="6">
        <f ca="1">$M$216*$Z$216</f>
        <v>747.98222461249634</v>
      </c>
      <c r="AG216" s="6">
        <f>$O$216*$AA$216</f>
        <v>572.06996275580082</v>
      </c>
    </row>
    <row r="217" spans="1:33" ht="11.25" customHeight="1" x14ac:dyDescent="0.3">
      <c r="A217" s="4" t="s">
        <v>21</v>
      </c>
      <c r="B217" s="4" t="s">
        <v>22</v>
      </c>
      <c r="C217" s="4" t="s">
        <v>23</v>
      </c>
      <c r="D217" s="4" t="s">
        <v>24</v>
      </c>
      <c r="E217" s="4" t="s">
        <v>32</v>
      </c>
      <c r="F217" s="4" t="s">
        <v>25</v>
      </c>
      <c r="G217" s="4" t="s">
        <v>25</v>
      </c>
      <c r="H217" s="4" t="s">
        <v>25</v>
      </c>
      <c r="I217" s="5">
        <v>44621</v>
      </c>
      <c r="J217" s="6">
        <v>0</v>
      </c>
      <c r="K217" s="6">
        <v>0</v>
      </c>
      <c r="L217" s="6">
        <v>2.6110000000000002</v>
      </c>
      <c r="M217" s="6">
        <v>2.6110000000000002</v>
      </c>
      <c r="N217" s="6">
        <v>2.6110000000000002</v>
      </c>
      <c r="O217" s="6">
        <v>2.6110000000000002</v>
      </c>
      <c r="P217" s="6">
        <v>32</v>
      </c>
      <c r="Q217" s="4" t="s">
        <v>26</v>
      </c>
      <c r="R217" s="4">
        <v>0</v>
      </c>
      <c r="S217" s="6">
        <v>0</v>
      </c>
      <c r="T217" s="6">
        <v>48</v>
      </c>
      <c r="U217" s="6">
        <v>71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368.07</v>
      </c>
      <c r="X217" s="6">
        <f>IF(ISERROR(VLOOKUP($U$217,'TAR FIN'!$A$1:$O$85,15,0)),0,VLOOKUP($U$217,'TAR FIN'!$A$1:$O$85,15,0))</f>
        <v>221.6</v>
      </c>
      <c r="Y217" s="6"/>
      <c r="Z217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7" s="6">
        <f>('TE BE'!$AB$15+'TE BF'!$AB$15+'TE CVA'!$AB$15)*(1-CUSTOS!$M$37)</f>
        <v>269.20939423802389</v>
      </c>
      <c r="AB217" s="6">
        <f>$K$217*$V$217</f>
        <v>0</v>
      </c>
      <c r="AC217" s="6">
        <f>$M$217*$W$217</f>
        <v>961.03077000000008</v>
      </c>
      <c r="AD217" s="6">
        <f>$O$217*$X$217</f>
        <v>578.59760000000006</v>
      </c>
      <c r="AE217" s="6">
        <f>$K$217*$Y$217</f>
        <v>0</v>
      </c>
      <c r="AF217" s="6">
        <f ca="1">$M$217*$Z$217</f>
        <v>919.05015927681325</v>
      </c>
      <c r="AG217" s="6">
        <f>$O$217*$AA$217</f>
        <v>702.90572835548039</v>
      </c>
    </row>
    <row r="218" spans="1:33" ht="11.25" customHeight="1" x14ac:dyDescent="0.3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32</v>
      </c>
      <c r="F218" s="4" t="s">
        <v>25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2.0590000000000002</v>
      </c>
      <c r="M218" s="6">
        <v>2.0590000000000002</v>
      </c>
      <c r="N218" s="6">
        <v>2.0590000000000002</v>
      </c>
      <c r="O218" s="6">
        <v>2.0590000000000002</v>
      </c>
      <c r="P218" s="6">
        <v>26</v>
      </c>
      <c r="Q218" s="4" t="s">
        <v>26</v>
      </c>
      <c r="R218" s="4">
        <v>0</v>
      </c>
      <c r="S218" s="6">
        <v>0</v>
      </c>
      <c r="T218" s="6">
        <v>48</v>
      </c>
      <c r="U218" s="6">
        <v>71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368.07</v>
      </c>
      <c r="X218" s="6">
        <f>IF(ISERROR(VLOOKUP($U$218,'TAR FIN'!$A$1:$O$85,15,0)),0,VLOOKUP($U$218,'TAR FIN'!$A$1:$O$85,15,0))</f>
        <v>221.6</v>
      </c>
      <c r="Y218" s="6"/>
      <c r="Z218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8" s="6">
        <f>('TE BE'!$AB$15+'TE BF'!$AB$15+'TE CVA'!$AB$15)*(1-CUSTOS!$M$37)</f>
        <v>269.20939423802389</v>
      </c>
      <c r="AB218" s="6">
        <f>$K$218*$V$218</f>
        <v>0</v>
      </c>
      <c r="AC218" s="6">
        <f>$M$218*$W$218</f>
        <v>757.85613000000001</v>
      </c>
      <c r="AD218" s="6">
        <f>$O$218*$X$218</f>
        <v>456.27440000000001</v>
      </c>
      <c r="AE218" s="6">
        <f>$K$218*$Y$218</f>
        <v>0</v>
      </c>
      <c r="AF218" s="6">
        <f ca="1">$M$218*$Z$218</f>
        <v>724.75077669512007</v>
      </c>
      <c r="AG218" s="6">
        <f>$O$218*$AA$218</f>
        <v>554.30214273609124</v>
      </c>
    </row>
    <row r="219" spans="1:33" ht="11.25" customHeight="1" x14ac:dyDescent="0.3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32</v>
      </c>
      <c r="F219" s="4" t="s">
        <v>25</v>
      </c>
      <c r="G219" s="4" t="s">
        <v>25</v>
      </c>
      <c r="H219" s="4" t="s">
        <v>25</v>
      </c>
      <c r="I219" s="5">
        <v>44682</v>
      </c>
      <c r="J219" s="6">
        <v>0</v>
      </c>
      <c r="K219" s="6">
        <v>0</v>
      </c>
      <c r="L219" s="6">
        <v>1.4379999999999999</v>
      </c>
      <c r="M219" s="6">
        <v>1.4379999999999999</v>
      </c>
      <c r="N219" s="6">
        <v>1.4379999999999999</v>
      </c>
      <c r="O219" s="6">
        <v>1.4379999999999999</v>
      </c>
      <c r="P219" s="6">
        <v>24</v>
      </c>
      <c r="Q219" s="4" t="s">
        <v>26</v>
      </c>
      <c r="R219" s="4">
        <v>0</v>
      </c>
      <c r="S219" s="6">
        <v>0</v>
      </c>
      <c r="T219" s="6">
        <v>48</v>
      </c>
      <c r="U219" s="6">
        <v>71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368.07</v>
      </c>
      <c r="X219" s="6">
        <f>IF(ISERROR(VLOOKUP($U$219,'TAR FIN'!$A$1:$O$85,15,0)),0,VLOOKUP($U$219,'TAR FIN'!$A$1:$O$85,15,0))</f>
        <v>221.6</v>
      </c>
      <c r="Y219" s="6"/>
      <c r="Z219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19" s="6">
        <f>('TE BE'!$AB$15+'TE BF'!$AB$15+'TE CVA'!$AB$15)*(1-CUSTOS!$M$37)</f>
        <v>269.20939423802389</v>
      </c>
      <c r="AB219" s="6">
        <f>$K$219*$V$219</f>
        <v>0</v>
      </c>
      <c r="AC219" s="6">
        <f>$M$219*$W$219</f>
        <v>529.28465999999992</v>
      </c>
      <c r="AD219" s="6">
        <f>$O$219*$X$219</f>
        <v>318.66079999999999</v>
      </c>
      <c r="AE219" s="6">
        <f>$K$219*$Y$219</f>
        <v>0</v>
      </c>
      <c r="AF219" s="6">
        <f ca="1">$M$219*$Z$219</f>
        <v>506.16397129071515</v>
      </c>
      <c r="AG219" s="6">
        <f>$O$219*$AA$219</f>
        <v>387.12310891427836</v>
      </c>
    </row>
    <row r="220" spans="1:33" ht="11.25" customHeight="1" x14ac:dyDescent="0.3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32</v>
      </c>
      <c r="F220" s="4" t="s">
        <v>25</v>
      </c>
      <c r="G220" s="4" t="s">
        <v>25</v>
      </c>
      <c r="H220" s="4" t="s">
        <v>25</v>
      </c>
      <c r="I220" s="5">
        <v>44713</v>
      </c>
      <c r="J220" s="6">
        <v>0</v>
      </c>
      <c r="K220" s="6">
        <v>0</v>
      </c>
      <c r="L220" s="6">
        <v>1.7869999999999999</v>
      </c>
      <c r="M220" s="6">
        <v>1.7869999999999999</v>
      </c>
      <c r="N220" s="6">
        <v>1.7869999999999999</v>
      </c>
      <c r="O220" s="6">
        <v>1.7869999999999999</v>
      </c>
      <c r="P220" s="6">
        <v>19</v>
      </c>
      <c r="Q220" s="4" t="s">
        <v>26</v>
      </c>
      <c r="R220" s="4">
        <v>0</v>
      </c>
      <c r="S220" s="6">
        <v>0</v>
      </c>
      <c r="T220" s="6">
        <v>48</v>
      </c>
      <c r="U220" s="6">
        <v>71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368.07</v>
      </c>
      <c r="X220" s="6">
        <f>IF(ISERROR(VLOOKUP($U$220,'TAR FIN'!$A$1:$O$85,15,0)),0,VLOOKUP($U$220,'TAR FIN'!$A$1:$O$85,15,0))</f>
        <v>221.6</v>
      </c>
      <c r="Y220" s="6"/>
      <c r="Z220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20" s="6">
        <f>('TE BE'!$AB$15+'TE BF'!$AB$15+'TE CVA'!$AB$15)*(1-CUSTOS!$M$37)</f>
        <v>269.20939423802389</v>
      </c>
      <c r="AB220" s="6">
        <f>$K$220*$V$220</f>
        <v>0</v>
      </c>
      <c r="AC220" s="6">
        <f>$M$220*$W$220</f>
        <v>657.74108999999999</v>
      </c>
      <c r="AD220" s="6">
        <f>$O$220*$X$220</f>
        <v>395.99919999999997</v>
      </c>
      <c r="AE220" s="6">
        <f>$K$220*$Y$220</f>
        <v>0</v>
      </c>
      <c r="AF220" s="6">
        <f ca="1">$M$220*$Z$220</f>
        <v>629.00905194472045</v>
      </c>
      <c r="AG220" s="6">
        <f>$O$220*$AA$220</f>
        <v>481.07718750334868</v>
      </c>
    </row>
    <row r="221" spans="1:33" ht="11.25" customHeight="1" x14ac:dyDescent="0.3">
      <c r="A221" s="4" t="s">
        <v>27</v>
      </c>
      <c r="B221" s="4" t="s">
        <v>22</v>
      </c>
      <c r="C221" s="4" t="s">
        <v>23</v>
      </c>
      <c r="D221" s="4" t="s">
        <v>24</v>
      </c>
      <c r="E221" s="4" t="s">
        <v>32</v>
      </c>
      <c r="F221" s="4" t="s">
        <v>25</v>
      </c>
      <c r="G221" s="4" t="s">
        <v>25</v>
      </c>
      <c r="H221" s="4" t="s">
        <v>25</v>
      </c>
      <c r="I221" s="5">
        <v>44713</v>
      </c>
      <c r="J221" s="6">
        <v>0</v>
      </c>
      <c r="K221" s="6">
        <v>0</v>
      </c>
      <c r="L221" s="6">
        <v>0.436</v>
      </c>
      <c r="M221" s="6">
        <v>0.436</v>
      </c>
      <c r="N221" s="6">
        <v>0.436</v>
      </c>
      <c r="O221" s="6">
        <v>0.436</v>
      </c>
      <c r="P221" s="6">
        <v>0</v>
      </c>
      <c r="Q221" s="4" t="s">
        <v>26</v>
      </c>
      <c r="R221" s="4">
        <v>0</v>
      </c>
      <c r="S221" s="6">
        <v>0</v>
      </c>
      <c r="T221" s="6">
        <v>48</v>
      </c>
      <c r="U221" s="6">
        <v>71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368.07</v>
      </c>
      <c r="X221" s="6">
        <f>IF(ISERROR(VLOOKUP($U$221,'TAR FIN'!$A$1:$O$85,15,0)),0,VLOOKUP($U$221,'TAR FIN'!$A$1:$O$85,15,0))</f>
        <v>221.6</v>
      </c>
      <c r="Y221" s="6"/>
      <c r="Z221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21" s="6">
        <f>('TE BE'!$AB$15+'TE BF'!$AB$15+'TE CVA'!$AB$15)*(1-CUSTOS!$M$37)</f>
        <v>269.20939423802389</v>
      </c>
      <c r="AB221" s="6">
        <f>$K$221*$V$221</f>
        <v>0</v>
      </c>
      <c r="AC221" s="6">
        <f>$M$221*$W$221</f>
        <v>160.47852</v>
      </c>
      <c r="AD221" s="6">
        <f>$O$221*$X$221</f>
        <v>96.617599999999996</v>
      </c>
      <c r="AE221" s="6">
        <f>$K$221*$Y$221</f>
        <v>0</v>
      </c>
      <c r="AF221" s="6">
        <f ca="1">$M$221*$Z$221</f>
        <v>153.46835290872866</v>
      </c>
      <c r="AG221" s="6">
        <f>$O$221*$AA$221</f>
        <v>117.37529588777842</v>
      </c>
    </row>
    <row r="222" spans="1:33" ht="11.25" customHeight="1" x14ac:dyDescent="0.3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32</v>
      </c>
      <c r="F222" s="4" t="s">
        <v>25</v>
      </c>
      <c r="G222" s="4" t="s">
        <v>25</v>
      </c>
      <c r="H222" s="4" t="s">
        <v>25</v>
      </c>
      <c r="I222" s="5">
        <v>44743</v>
      </c>
      <c r="J222" s="6">
        <v>0</v>
      </c>
      <c r="K222" s="6">
        <v>0</v>
      </c>
      <c r="L222" s="6">
        <v>1.2589999999999999</v>
      </c>
      <c r="M222" s="6">
        <v>1.2589999999999999</v>
      </c>
      <c r="N222" s="6">
        <v>1.2589999999999999</v>
      </c>
      <c r="O222" s="6">
        <v>1.2589999999999999</v>
      </c>
      <c r="P222" s="6">
        <v>16</v>
      </c>
      <c r="Q222" s="4" t="s">
        <v>26</v>
      </c>
      <c r="R222" s="4">
        <v>0</v>
      </c>
      <c r="S222" s="6">
        <v>0</v>
      </c>
      <c r="T222" s="6">
        <v>48</v>
      </c>
      <c r="U222" s="6">
        <v>71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368.07</v>
      </c>
      <c r="X222" s="6">
        <f>IF(ISERROR(VLOOKUP($U$222,'TAR FIN'!$A$1:$O$85,15,0)),0,VLOOKUP($U$222,'TAR FIN'!$A$1:$O$85,15,0))</f>
        <v>221.6</v>
      </c>
      <c r="Y222" s="6"/>
      <c r="Z222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22" s="6">
        <f>('TE BE'!$AB$15+'TE BF'!$AB$15+'TE CVA'!$AB$15)*(1-CUSTOS!$M$37)</f>
        <v>269.20939423802389</v>
      </c>
      <c r="AB222" s="6">
        <f>$K$222*$V$222</f>
        <v>0</v>
      </c>
      <c r="AC222" s="6">
        <f>$M$222*$W$222</f>
        <v>463.40012999999993</v>
      </c>
      <c r="AD222" s="6">
        <f>$O$222*$X$222</f>
        <v>278.99439999999998</v>
      </c>
      <c r="AE222" s="6">
        <f>$K$222*$Y$222</f>
        <v>0</v>
      </c>
      <c r="AF222" s="6">
        <f ca="1">$M$222*$Z$222</f>
        <v>443.1574686057096</v>
      </c>
      <c r="AG222" s="6">
        <f>$O$222*$AA$222</f>
        <v>338.93462734567203</v>
      </c>
    </row>
    <row r="223" spans="1:33" ht="11.25" customHeight="1" x14ac:dyDescent="0.3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32</v>
      </c>
      <c r="F223" s="4" t="s">
        <v>25</v>
      </c>
      <c r="G223" s="4" t="s">
        <v>25</v>
      </c>
      <c r="H223" s="4" t="s">
        <v>25</v>
      </c>
      <c r="I223" s="5">
        <v>44774</v>
      </c>
      <c r="J223" s="6">
        <v>0</v>
      </c>
      <c r="K223" s="6">
        <v>0</v>
      </c>
      <c r="L223" s="6">
        <v>1.1619999999999999</v>
      </c>
      <c r="M223" s="6">
        <v>1.1619999999999999</v>
      </c>
      <c r="N223" s="6">
        <v>1.1619999999999999</v>
      </c>
      <c r="O223" s="6">
        <v>1.1619999999999999</v>
      </c>
      <c r="P223" s="6">
        <v>20</v>
      </c>
      <c r="Q223" s="4" t="s">
        <v>26</v>
      </c>
      <c r="R223" s="4">
        <v>0</v>
      </c>
      <c r="S223" s="6">
        <v>0</v>
      </c>
      <c r="T223" s="6">
        <v>48</v>
      </c>
      <c r="U223" s="6">
        <v>71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368.07</v>
      </c>
      <c r="X223" s="6">
        <f>IF(ISERROR(VLOOKUP($U$223,'TAR FIN'!$A$1:$O$85,15,0)),0,VLOOKUP($U$223,'TAR FIN'!$A$1:$O$85,15,0))</f>
        <v>221.6</v>
      </c>
      <c r="Y223" s="6"/>
      <c r="Z223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223" s="6">
        <f>('TE BE'!$AB$15+'TE BF'!$AB$15+'TE CVA'!$AB$15)*(1-CUSTOS!$M$37)</f>
        <v>269.20939423802389</v>
      </c>
      <c r="AB223" s="6">
        <f>$K$223*$V$223</f>
        <v>0</v>
      </c>
      <c r="AC223" s="6">
        <f>$M$223*$W$223</f>
        <v>427.69733999999994</v>
      </c>
      <c r="AD223" s="6">
        <f>$O$223*$X$223</f>
        <v>257.49919999999997</v>
      </c>
      <c r="AE223" s="6">
        <f>$K$223*$Y$223</f>
        <v>0</v>
      </c>
      <c r="AF223" s="6">
        <f ca="1">$M$223*$Z$223</f>
        <v>409.01427999986856</v>
      </c>
      <c r="AG223" s="6">
        <f>$O$223*$AA$223</f>
        <v>312.82131610458373</v>
      </c>
    </row>
    <row r="224" spans="1:33" ht="11.25" customHeight="1" x14ac:dyDescent="0.3">
      <c r="A224" s="4" t="s">
        <v>21</v>
      </c>
      <c r="B224" s="4" t="s">
        <v>41</v>
      </c>
      <c r="C224" s="4" t="s">
        <v>23</v>
      </c>
      <c r="D224" s="4" t="s">
        <v>42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44440</v>
      </c>
      <c r="J224" s="6">
        <v>0</v>
      </c>
      <c r="K224" s="6">
        <v>0</v>
      </c>
      <c r="L224" s="6">
        <v>108.533</v>
      </c>
      <c r="M224" s="6">
        <v>108.533</v>
      </c>
      <c r="N224" s="6">
        <v>108.533</v>
      </c>
      <c r="O224" s="6">
        <v>108.533</v>
      </c>
      <c r="P224" s="6">
        <v>329</v>
      </c>
      <c r="Q224" s="4" t="s">
        <v>26</v>
      </c>
      <c r="R224" s="4">
        <v>0</v>
      </c>
      <c r="S224" s="6">
        <v>0</v>
      </c>
      <c r="T224" s="6">
        <v>39</v>
      </c>
      <c r="U224" s="6">
        <v>10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406.8</v>
      </c>
      <c r="X224" s="6">
        <f>IF(ISERROR(VLOOKUP($U$224,'TAR FIN'!$A$1:$O$85,15,0)),0,VLOOKUP($U$224,'TAR FIN'!$A$1:$O$85,15,0))</f>
        <v>195</v>
      </c>
      <c r="Y224" s="6"/>
      <c r="Z224" s="6">
        <f ca="1">('TUSD BE'!$AM$33+'TUSD BF'!$AM$33+'TUSD CVA'!$AM$33)*(1-CUSTOS!$M$38)</f>
        <v>456.17471841965244</v>
      </c>
      <c r="AA224" s="6">
        <f>('TE BE'!$AB$24+'TE BF'!$AB$24+'TE CVA'!$AB$24)*(1-CUSTOS!$M$38)</f>
        <v>253.05683058374245</v>
      </c>
      <c r="AB224" s="6">
        <f>$K$224*$V$224</f>
        <v>0</v>
      </c>
      <c r="AC224" s="6">
        <f>$M$224*$W$224</f>
        <v>44151.224399999999</v>
      </c>
      <c r="AD224" s="6">
        <f>$O$224*$X$224</f>
        <v>21163.935000000001</v>
      </c>
      <c r="AE224" s="6">
        <f>$K$224*$Y$224</f>
        <v>0</v>
      </c>
      <c r="AF224" s="6">
        <f ca="1">$M$224*$Z$224</f>
        <v>49510.010714240139</v>
      </c>
      <c r="AG224" s="6">
        <f>$O$224*$AA$224</f>
        <v>27465.016993745321</v>
      </c>
    </row>
    <row r="225" spans="1:33" ht="11.25" customHeight="1" x14ac:dyDescent="0.3">
      <c r="A225" s="4" t="s">
        <v>28</v>
      </c>
      <c r="B225" s="4" t="s">
        <v>41</v>
      </c>
      <c r="C225" s="4" t="s">
        <v>23</v>
      </c>
      <c r="D225" s="4" t="s">
        <v>42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44440</v>
      </c>
      <c r="J225" s="6">
        <v>0</v>
      </c>
      <c r="K225" s="6">
        <v>0</v>
      </c>
      <c r="L225" s="6">
        <v>0.42399999999999999</v>
      </c>
      <c r="M225" s="6">
        <v>0.42399999999999999</v>
      </c>
      <c r="N225" s="6">
        <v>0.42399999999999999</v>
      </c>
      <c r="O225" s="6">
        <v>0.42399999999999999</v>
      </c>
      <c r="P225" s="6">
        <v>3</v>
      </c>
      <c r="Q225" s="4" t="s">
        <v>26</v>
      </c>
      <c r="R225" s="4">
        <v>0</v>
      </c>
      <c r="S225" s="6">
        <v>0</v>
      </c>
      <c r="T225" s="6">
        <v>39</v>
      </c>
      <c r="U225" s="6">
        <v>10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406.8</v>
      </c>
      <c r="X225" s="6">
        <f>IF(ISERROR(VLOOKUP($U$225,'TAR FIN'!$A$1:$O$85,15,0)),0,VLOOKUP($U$225,'TAR FIN'!$A$1:$O$85,15,0))</f>
        <v>195</v>
      </c>
      <c r="Y225" s="6"/>
      <c r="Z225" s="6">
        <f ca="1">('TUSD BE'!$AM$33+'TUSD BF'!$AM$33+'TUSD CVA'!$AM$33)*(1-CUSTOS!$M$38)</f>
        <v>456.17471841965244</v>
      </c>
      <c r="AA225" s="6">
        <f>('TE BE'!$AB$24+'TE BF'!$AB$24+'TE CVA'!$AB$24)*(1-CUSTOS!$M$38)</f>
        <v>253.05683058374245</v>
      </c>
      <c r="AB225" s="6">
        <f>$K$225*$V$225</f>
        <v>0</v>
      </c>
      <c r="AC225" s="6">
        <f>$M$225*$W$225</f>
        <v>172.48320000000001</v>
      </c>
      <c r="AD225" s="6">
        <f>$O$225*$X$225</f>
        <v>82.679999999999993</v>
      </c>
      <c r="AE225" s="6">
        <f>$K$225*$Y$225</f>
        <v>0</v>
      </c>
      <c r="AF225" s="6">
        <f ca="1">$M$225*$Z$225</f>
        <v>193.41808060993262</v>
      </c>
      <c r="AG225" s="6">
        <f>$O$225*$AA$225</f>
        <v>107.2960961675068</v>
      </c>
    </row>
    <row r="226" spans="1:33" ht="11.25" customHeight="1" x14ac:dyDescent="0.3">
      <c r="A226" s="4" t="s">
        <v>21</v>
      </c>
      <c r="B226" s="4" t="s">
        <v>41</v>
      </c>
      <c r="C226" s="4" t="s">
        <v>23</v>
      </c>
      <c r="D226" s="4" t="s">
        <v>42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44470</v>
      </c>
      <c r="J226" s="6">
        <v>0</v>
      </c>
      <c r="K226" s="6">
        <v>0</v>
      </c>
      <c r="L226" s="6">
        <v>105.29</v>
      </c>
      <c r="M226" s="6">
        <v>105.29</v>
      </c>
      <c r="N226" s="6">
        <v>105.29</v>
      </c>
      <c r="O226" s="6">
        <v>105.29</v>
      </c>
      <c r="P226" s="6">
        <v>334</v>
      </c>
      <c r="Q226" s="4" t="s">
        <v>26</v>
      </c>
      <c r="R226" s="4">
        <v>0</v>
      </c>
      <c r="S226" s="6">
        <v>0</v>
      </c>
      <c r="T226" s="6">
        <v>39</v>
      </c>
      <c r="U226" s="6">
        <v>10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406.8</v>
      </c>
      <c r="X226" s="6">
        <f>IF(ISERROR(VLOOKUP($U$226,'TAR FIN'!$A$1:$O$85,15,0)),0,VLOOKUP($U$226,'TAR FIN'!$A$1:$O$85,15,0))</f>
        <v>195</v>
      </c>
      <c r="Y226" s="6"/>
      <c r="Z226" s="6">
        <f ca="1">('TUSD BE'!$AM$33+'TUSD BF'!$AM$33+'TUSD CVA'!$AM$33)*(1-CUSTOS!$M$38)</f>
        <v>456.17471841965244</v>
      </c>
      <c r="AA226" s="6">
        <f>('TE BE'!$AB$24+'TE BF'!$AB$24+'TE CVA'!$AB$24)*(1-CUSTOS!$M$38)</f>
        <v>253.05683058374245</v>
      </c>
      <c r="AB226" s="6">
        <f>$K$226*$V$226</f>
        <v>0</v>
      </c>
      <c r="AC226" s="6">
        <f>$M$226*$W$226</f>
        <v>42831.972000000002</v>
      </c>
      <c r="AD226" s="6">
        <f>$O$226*$X$226</f>
        <v>20531.550000000003</v>
      </c>
      <c r="AE226" s="6">
        <f>$K$226*$Y$226</f>
        <v>0</v>
      </c>
      <c r="AF226" s="6">
        <f ca="1">$M$226*$Z$226</f>
        <v>48030.636102405209</v>
      </c>
      <c r="AG226" s="6">
        <f>$O$226*$AA$226</f>
        <v>26644.353692162244</v>
      </c>
    </row>
    <row r="227" spans="1:33" ht="11.25" customHeight="1" x14ac:dyDescent="0.3">
      <c r="A227" s="4" t="s">
        <v>27</v>
      </c>
      <c r="B227" s="4" t="s">
        <v>41</v>
      </c>
      <c r="C227" s="4" t="s">
        <v>23</v>
      </c>
      <c r="D227" s="4" t="s">
        <v>42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44470</v>
      </c>
      <c r="J227" s="6">
        <v>0</v>
      </c>
      <c r="K227" s="6">
        <v>0</v>
      </c>
      <c r="L227" s="6">
        <v>-0.44600000000000001</v>
      </c>
      <c r="M227" s="6">
        <v>-0.44600000000000001</v>
      </c>
      <c r="N227" s="6">
        <v>-0.44600000000000001</v>
      </c>
      <c r="O227" s="6">
        <v>-0.44600000000000001</v>
      </c>
      <c r="P227" s="6">
        <v>0</v>
      </c>
      <c r="Q227" s="4" t="s">
        <v>26</v>
      </c>
      <c r="R227" s="4">
        <v>0</v>
      </c>
      <c r="S227" s="6">
        <v>0</v>
      </c>
      <c r="T227" s="6">
        <v>39</v>
      </c>
      <c r="U227" s="6">
        <v>10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406.8</v>
      </c>
      <c r="X227" s="6">
        <f>IF(ISERROR(VLOOKUP($U$227,'TAR FIN'!$A$1:$O$85,15,0)),0,VLOOKUP($U$227,'TAR FIN'!$A$1:$O$85,15,0))</f>
        <v>195</v>
      </c>
      <c r="Y227" s="6"/>
      <c r="Z227" s="6">
        <f ca="1">('TUSD BE'!$AM$33+'TUSD BF'!$AM$33+'TUSD CVA'!$AM$33)*(1-CUSTOS!$M$38)</f>
        <v>456.17471841965244</v>
      </c>
      <c r="AA227" s="6">
        <f>('TE BE'!$AB$24+'TE BF'!$AB$24+'TE CVA'!$AB$24)*(1-CUSTOS!$M$38)</f>
        <v>253.05683058374245</v>
      </c>
      <c r="AB227" s="6">
        <f>$K$227*$V$227</f>
        <v>0</v>
      </c>
      <c r="AC227" s="6">
        <f>$M$227*$W$227</f>
        <v>-181.43280000000001</v>
      </c>
      <c r="AD227" s="6">
        <f>$O$227*$X$227</f>
        <v>-86.97</v>
      </c>
      <c r="AE227" s="6">
        <f>$K$227*$Y$227</f>
        <v>0</v>
      </c>
      <c r="AF227" s="6">
        <f ca="1">$M$227*$Z$227</f>
        <v>-203.45392441516498</v>
      </c>
      <c r="AG227" s="6">
        <f>$O$227*$AA$227</f>
        <v>-112.86334644034913</v>
      </c>
    </row>
    <row r="228" spans="1:33" ht="11.25" customHeight="1" x14ac:dyDescent="0.3">
      <c r="A228" s="4" t="s">
        <v>28</v>
      </c>
      <c r="B228" s="4" t="s">
        <v>41</v>
      </c>
      <c r="C228" s="4" t="s">
        <v>23</v>
      </c>
      <c r="D228" s="4" t="s">
        <v>42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44470</v>
      </c>
      <c r="J228" s="6">
        <v>0</v>
      </c>
      <c r="K228" s="6">
        <v>0</v>
      </c>
      <c r="L228" s="6">
        <v>1.4690000000000001</v>
      </c>
      <c r="M228" s="6">
        <v>1.4690000000000001</v>
      </c>
      <c r="N228" s="6">
        <v>1.4690000000000001</v>
      </c>
      <c r="O228" s="6">
        <v>1.4690000000000001</v>
      </c>
      <c r="P228" s="6">
        <v>3</v>
      </c>
      <c r="Q228" s="4" t="s">
        <v>26</v>
      </c>
      <c r="R228" s="4">
        <v>0</v>
      </c>
      <c r="S228" s="6">
        <v>0</v>
      </c>
      <c r="T228" s="6">
        <v>39</v>
      </c>
      <c r="U228" s="6">
        <v>10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406.8</v>
      </c>
      <c r="X228" s="6">
        <f>IF(ISERROR(VLOOKUP($U$228,'TAR FIN'!$A$1:$O$85,15,0)),0,VLOOKUP($U$228,'TAR FIN'!$A$1:$O$85,15,0))</f>
        <v>195</v>
      </c>
      <c r="Y228" s="6"/>
      <c r="Z228" s="6">
        <f ca="1">('TUSD BE'!$AM$33+'TUSD BF'!$AM$33+'TUSD CVA'!$AM$33)*(1-CUSTOS!$M$38)</f>
        <v>456.17471841965244</v>
      </c>
      <c r="AA228" s="6">
        <f>('TE BE'!$AB$24+'TE BF'!$AB$24+'TE CVA'!$AB$24)*(1-CUSTOS!$M$38)</f>
        <v>253.05683058374245</v>
      </c>
      <c r="AB228" s="6">
        <f>$K$228*$V$228</f>
        <v>0</v>
      </c>
      <c r="AC228" s="6">
        <f>$M$228*$W$228</f>
        <v>597.58920000000001</v>
      </c>
      <c r="AD228" s="6">
        <f>$O$228*$X$228</f>
        <v>286.45500000000004</v>
      </c>
      <c r="AE228" s="6">
        <f>$K$228*$Y$228</f>
        <v>0</v>
      </c>
      <c r="AF228" s="6">
        <f ca="1">$M$228*$Z$228</f>
        <v>670.12066135846942</v>
      </c>
      <c r="AG228" s="6">
        <f>$O$228*$AA$228</f>
        <v>371.74048412751768</v>
      </c>
    </row>
    <row r="229" spans="1:33" ht="11.25" customHeight="1" x14ac:dyDescent="0.3">
      <c r="A229" s="4" t="s">
        <v>21</v>
      </c>
      <c r="B229" s="4" t="s">
        <v>41</v>
      </c>
      <c r="C229" s="4" t="s">
        <v>23</v>
      </c>
      <c r="D229" s="4" t="s">
        <v>42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44501</v>
      </c>
      <c r="J229" s="6">
        <v>0</v>
      </c>
      <c r="K229" s="6">
        <v>0</v>
      </c>
      <c r="L229" s="6">
        <v>111.015</v>
      </c>
      <c r="M229" s="6">
        <v>111.015</v>
      </c>
      <c r="N229" s="6">
        <v>111.015</v>
      </c>
      <c r="O229" s="6">
        <v>111.015</v>
      </c>
      <c r="P229" s="6">
        <v>331</v>
      </c>
      <c r="Q229" s="4" t="s">
        <v>26</v>
      </c>
      <c r="R229" s="4">
        <v>0</v>
      </c>
      <c r="S229" s="6">
        <v>0</v>
      </c>
      <c r="T229" s="6">
        <v>39</v>
      </c>
      <c r="U229" s="6">
        <v>10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406.8</v>
      </c>
      <c r="X229" s="6">
        <f>IF(ISERROR(VLOOKUP($U$229,'TAR FIN'!$A$1:$O$85,15,0)),0,VLOOKUP($U$229,'TAR FIN'!$A$1:$O$85,15,0))</f>
        <v>195</v>
      </c>
      <c r="Y229" s="6"/>
      <c r="Z229" s="6">
        <f ca="1">('TUSD BE'!$AM$33+'TUSD BF'!$AM$33+'TUSD CVA'!$AM$33)*(1-CUSTOS!$M$38)</f>
        <v>456.17471841965244</v>
      </c>
      <c r="AA229" s="6">
        <f>('TE BE'!$AB$24+'TE BF'!$AB$24+'TE CVA'!$AB$24)*(1-CUSTOS!$M$38)</f>
        <v>253.05683058374245</v>
      </c>
      <c r="AB229" s="6">
        <f>$K$229*$V$229</f>
        <v>0</v>
      </c>
      <c r="AC229" s="6">
        <f>$M$229*$W$229</f>
        <v>45160.902000000002</v>
      </c>
      <c r="AD229" s="6">
        <f>$O$229*$X$229</f>
        <v>21647.924999999999</v>
      </c>
      <c r="AE229" s="6">
        <f>$K$229*$Y$229</f>
        <v>0</v>
      </c>
      <c r="AF229" s="6">
        <f ca="1">$M$229*$Z$229</f>
        <v>50642.236365357712</v>
      </c>
      <c r="AG229" s="6">
        <f>$O$229*$AA$229</f>
        <v>28093.104047254168</v>
      </c>
    </row>
    <row r="230" spans="1:33" ht="11.25" customHeight="1" x14ac:dyDescent="0.3">
      <c r="A230" s="4" t="s">
        <v>28</v>
      </c>
      <c r="B230" s="4" t="s">
        <v>41</v>
      </c>
      <c r="C230" s="4" t="s">
        <v>23</v>
      </c>
      <c r="D230" s="4" t="s">
        <v>42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44501</v>
      </c>
      <c r="J230" s="6">
        <v>0</v>
      </c>
      <c r="K230" s="6">
        <v>0</v>
      </c>
      <c r="L230" s="6">
        <v>0.28299999999999997</v>
      </c>
      <c r="M230" s="6">
        <v>0.28299999999999997</v>
      </c>
      <c r="N230" s="6">
        <v>0.28299999999999997</v>
      </c>
      <c r="O230" s="6">
        <v>0.28299999999999997</v>
      </c>
      <c r="P230" s="6">
        <v>3</v>
      </c>
      <c r="Q230" s="4" t="s">
        <v>26</v>
      </c>
      <c r="R230" s="4">
        <v>0</v>
      </c>
      <c r="S230" s="6">
        <v>0</v>
      </c>
      <c r="T230" s="6">
        <v>39</v>
      </c>
      <c r="U230" s="6">
        <v>10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406.8</v>
      </c>
      <c r="X230" s="6">
        <f>IF(ISERROR(VLOOKUP($U$230,'TAR FIN'!$A$1:$O$85,15,0)),0,VLOOKUP($U$230,'TAR FIN'!$A$1:$O$85,15,0))</f>
        <v>195</v>
      </c>
      <c r="Y230" s="6"/>
      <c r="Z230" s="6">
        <f ca="1">('TUSD BE'!$AM$33+'TUSD BF'!$AM$33+'TUSD CVA'!$AM$33)*(1-CUSTOS!$M$38)</f>
        <v>456.17471841965244</v>
      </c>
      <c r="AA230" s="6">
        <f>('TE BE'!$AB$24+'TE BF'!$AB$24+'TE CVA'!$AB$24)*(1-CUSTOS!$M$38)</f>
        <v>253.05683058374245</v>
      </c>
      <c r="AB230" s="6">
        <f>$K$230*$V$230</f>
        <v>0</v>
      </c>
      <c r="AC230" s="6">
        <f>$M$230*$W$230</f>
        <v>115.12439999999999</v>
      </c>
      <c r="AD230" s="6">
        <f>$O$230*$X$230</f>
        <v>55.184999999999995</v>
      </c>
      <c r="AE230" s="6">
        <f>$K$230*$Y$230</f>
        <v>0</v>
      </c>
      <c r="AF230" s="6">
        <f ca="1">$M$230*$Z$230</f>
        <v>129.09744531276164</v>
      </c>
      <c r="AG230" s="6">
        <f>$O$230*$AA$230</f>
        <v>71.615083055199108</v>
      </c>
    </row>
    <row r="231" spans="1:33" ht="11.25" customHeight="1" x14ac:dyDescent="0.3">
      <c r="A231" s="4" t="s">
        <v>21</v>
      </c>
      <c r="B231" s="4" t="s">
        <v>41</v>
      </c>
      <c r="C231" s="4" t="s">
        <v>23</v>
      </c>
      <c r="D231" s="4" t="s">
        <v>42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44531</v>
      </c>
      <c r="J231" s="6">
        <v>0</v>
      </c>
      <c r="K231" s="6">
        <v>0</v>
      </c>
      <c r="L231" s="6">
        <v>115.242</v>
      </c>
      <c r="M231" s="6">
        <v>115.242</v>
      </c>
      <c r="N231" s="6">
        <v>115.242</v>
      </c>
      <c r="O231" s="6">
        <v>115.242</v>
      </c>
      <c r="P231" s="6">
        <v>333</v>
      </c>
      <c r="Q231" s="4" t="s">
        <v>26</v>
      </c>
      <c r="R231" s="4">
        <v>0</v>
      </c>
      <c r="S231" s="6">
        <v>0</v>
      </c>
      <c r="T231" s="6">
        <v>39</v>
      </c>
      <c r="U231" s="6">
        <v>10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406.8</v>
      </c>
      <c r="X231" s="6">
        <f>IF(ISERROR(VLOOKUP($U$231,'TAR FIN'!$A$1:$O$85,15,0)),0,VLOOKUP($U$231,'TAR FIN'!$A$1:$O$85,15,0))</f>
        <v>195</v>
      </c>
      <c r="Y231" s="6"/>
      <c r="Z231" s="6">
        <f ca="1">('TUSD BE'!$AM$33+'TUSD BF'!$AM$33+'TUSD CVA'!$AM$33)*(1-CUSTOS!$M$38)</f>
        <v>456.17471841965244</v>
      </c>
      <c r="AA231" s="6">
        <f>('TE BE'!$AB$24+'TE BF'!$AB$24+'TE CVA'!$AB$24)*(1-CUSTOS!$M$38)</f>
        <v>253.05683058374245</v>
      </c>
      <c r="AB231" s="6">
        <f>$K$231*$V$231</f>
        <v>0</v>
      </c>
      <c r="AC231" s="6">
        <f>$M$231*$W$231</f>
        <v>46880.445600000006</v>
      </c>
      <c r="AD231" s="6">
        <f>$O$231*$X$231</f>
        <v>22472.190000000002</v>
      </c>
      <c r="AE231" s="6">
        <f>$K$231*$Y$231</f>
        <v>0</v>
      </c>
      <c r="AF231" s="6">
        <f ca="1">$M$231*$Z$231</f>
        <v>52570.48690011759</v>
      </c>
      <c r="AG231" s="6">
        <f>$O$231*$AA$231</f>
        <v>29162.775270131649</v>
      </c>
    </row>
    <row r="232" spans="1:33" ht="11.25" customHeight="1" x14ac:dyDescent="0.3">
      <c r="A232" s="4" t="s">
        <v>28</v>
      </c>
      <c r="B232" s="4" t="s">
        <v>41</v>
      </c>
      <c r="C232" s="4" t="s">
        <v>23</v>
      </c>
      <c r="D232" s="4" t="s">
        <v>42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44531</v>
      </c>
      <c r="J232" s="6">
        <v>0</v>
      </c>
      <c r="K232" s="6">
        <v>0</v>
      </c>
      <c r="L232" s="6">
        <v>1.2270000000000001</v>
      </c>
      <c r="M232" s="6">
        <v>1.2270000000000001</v>
      </c>
      <c r="N232" s="6">
        <v>1.2270000000000001</v>
      </c>
      <c r="O232" s="6">
        <v>1.2270000000000001</v>
      </c>
      <c r="P232" s="6">
        <v>3</v>
      </c>
      <c r="Q232" s="4" t="s">
        <v>26</v>
      </c>
      <c r="R232" s="4">
        <v>0</v>
      </c>
      <c r="S232" s="6">
        <v>0</v>
      </c>
      <c r="T232" s="6">
        <v>39</v>
      </c>
      <c r="U232" s="6">
        <v>10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406.8</v>
      </c>
      <c r="X232" s="6">
        <f>IF(ISERROR(VLOOKUP($U$232,'TAR FIN'!$A$1:$O$85,15,0)),0,VLOOKUP($U$232,'TAR FIN'!$A$1:$O$85,15,0))</f>
        <v>195</v>
      </c>
      <c r="Y232" s="6"/>
      <c r="Z232" s="6">
        <f ca="1">('TUSD BE'!$AM$33+'TUSD BF'!$AM$33+'TUSD CVA'!$AM$33)*(1-CUSTOS!$M$38)</f>
        <v>456.17471841965244</v>
      </c>
      <c r="AA232" s="6">
        <f>('TE BE'!$AB$24+'TE BF'!$AB$24+'TE CVA'!$AB$24)*(1-CUSTOS!$M$38)</f>
        <v>253.05683058374245</v>
      </c>
      <c r="AB232" s="6">
        <f>$K$232*$V$232</f>
        <v>0</v>
      </c>
      <c r="AC232" s="6">
        <f>$M$232*$W$232</f>
        <v>499.14360000000005</v>
      </c>
      <c r="AD232" s="6">
        <f>$O$232*$X$232</f>
        <v>239.26500000000001</v>
      </c>
      <c r="AE232" s="6">
        <f>$K$232*$Y$232</f>
        <v>0</v>
      </c>
      <c r="AF232" s="6">
        <f ca="1">$M$232*$Z$232</f>
        <v>559.72637950091359</v>
      </c>
      <c r="AG232" s="6">
        <f>$O$232*$AA$232</f>
        <v>310.50073112625199</v>
      </c>
    </row>
    <row r="233" spans="1:33" ht="11.25" customHeight="1" x14ac:dyDescent="0.3">
      <c r="A233" s="4" t="s">
        <v>21</v>
      </c>
      <c r="B233" s="4" t="s">
        <v>41</v>
      </c>
      <c r="C233" s="4" t="s">
        <v>23</v>
      </c>
      <c r="D233" s="4" t="s">
        <v>42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44562</v>
      </c>
      <c r="J233" s="6">
        <v>0</v>
      </c>
      <c r="K233" s="6">
        <v>0</v>
      </c>
      <c r="L233" s="6">
        <v>132.32300000000001</v>
      </c>
      <c r="M233" s="6">
        <v>132.32300000000001</v>
      </c>
      <c r="N233" s="6">
        <v>132.32300000000001</v>
      </c>
      <c r="O233" s="6">
        <v>132.32300000000001</v>
      </c>
      <c r="P233" s="6">
        <v>334</v>
      </c>
      <c r="Q233" s="4" t="s">
        <v>26</v>
      </c>
      <c r="R233" s="4">
        <v>0</v>
      </c>
      <c r="S233" s="6">
        <v>0</v>
      </c>
      <c r="T233" s="6">
        <v>39</v>
      </c>
      <c r="U233" s="6">
        <v>10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406.8</v>
      </c>
      <c r="X233" s="6">
        <f>IF(ISERROR(VLOOKUP($U$233,'TAR FIN'!$A$1:$O$85,15,0)),0,VLOOKUP($U$233,'TAR FIN'!$A$1:$O$85,15,0))</f>
        <v>195</v>
      </c>
      <c r="Y233" s="6"/>
      <c r="Z233" s="6">
        <f ca="1">('TUSD BE'!$AM$33+'TUSD BF'!$AM$33+'TUSD CVA'!$AM$33)*(1-CUSTOS!$M$38)</f>
        <v>456.17471841965244</v>
      </c>
      <c r="AA233" s="6">
        <f>('TE BE'!$AB$24+'TE BF'!$AB$24+'TE CVA'!$AB$24)*(1-CUSTOS!$M$38)</f>
        <v>253.05683058374245</v>
      </c>
      <c r="AB233" s="6">
        <f>$K$233*$V$233</f>
        <v>0</v>
      </c>
      <c r="AC233" s="6">
        <f>$M$233*$W$233</f>
        <v>53828.996400000004</v>
      </c>
      <c r="AD233" s="6">
        <f>$O$233*$X$233</f>
        <v>25802.985000000001</v>
      </c>
      <c r="AE233" s="6">
        <f>$K$233*$Y$233</f>
        <v>0</v>
      </c>
      <c r="AF233" s="6">
        <f ca="1">$M$233*$Z$233</f>
        <v>60362.407265443675</v>
      </c>
      <c r="AG233" s="6">
        <f>$O$233*$AA$233</f>
        <v>33485.238993332554</v>
      </c>
    </row>
    <row r="234" spans="1:33" ht="11.25" customHeight="1" x14ac:dyDescent="0.3">
      <c r="A234" s="4" t="s">
        <v>28</v>
      </c>
      <c r="B234" s="4" t="s">
        <v>41</v>
      </c>
      <c r="C234" s="4" t="s">
        <v>23</v>
      </c>
      <c r="D234" s="4" t="s">
        <v>42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44562</v>
      </c>
      <c r="J234" s="6">
        <v>0</v>
      </c>
      <c r="K234" s="6">
        <v>0</v>
      </c>
      <c r="L234" s="6">
        <v>3.0249999999999999</v>
      </c>
      <c r="M234" s="6">
        <v>3.0249999999999999</v>
      </c>
      <c r="N234" s="6">
        <v>3.0249999999999999</v>
      </c>
      <c r="O234" s="6">
        <v>3.0249999999999999</v>
      </c>
      <c r="P234" s="6">
        <v>5</v>
      </c>
      <c r="Q234" s="4" t="s">
        <v>26</v>
      </c>
      <c r="R234" s="4">
        <v>0</v>
      </c>
      <c r="S234" s="6">
        <v>0</v>
      </c>
      <c r="T234" s="6">
        <v>39</v>
      </c>
      <c r="U234" s="6">
        <v>10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406.8</v>
      </c>
      <c r="X234" s="6">
        <f>IF(ISERROR(VLOOKUP($U$234,'TAR FIN'!$A$1:$O$85,15,0)),0,VLOOKUP($U$234,'TAR FIN'!$A$1:$O$85,15,0))</f>
        <v>195</v>
      </c>
      <c r="Y234" s="6"/>
      <c r="Z234" s="6">
        <f ca="1">('TUSD BE'!$AM$33+'TUSD BF'!$AM$33+'TUSD CVA'!$AM$33)*(1-CUSTOS!$M$38)</f>
        <v>456.17471841965244</v>
      </c>
      <c r="AA234" s="6">
        <f>('TE BE'!$AB$24+'TE BF'!$AB$24+'TE CVA'!$AB$24)*(1-CUSTOS!$M$38)</f>
        <v>253.05683058374245</v>
      </c>
      <c r="AB234" s="6">
        <f>$K$234*$V$234</f>
        <v>0</v>
      </c>
      <c r="AC234" s="6">
        <f>$M$234*$W$234</f>
        <v>1230.57</v>
      </c>
      <c r="AD234" s="6">
        <f>$O$234*$X$234</f>
        <v>589.875</v>
      </c>
      <c r="AE234" s="6">
        <f>$K$234*$Y$234</f>
        <v>0</v>
      </c>
      <c r="AF234" s="6">
        <f ca="1">$M$234*$Z$234</f>
        <v>1379.9285232194486</v>
      </c>
      <c r="AG234" s="6">
        <f>$O$234*$AA$234</f>
        <v>765.4969125158209</v>
      </c>
    </row>
    <row r="235" spans="1:33" ht="11.25" customHeight="1" x14ac:dyDescent="0.3">
      <c r="A235" s="4" t="s">
        <v>21</v>
      </c>
      <c r="B235" s="4" t="s">
        <v>41</v>
      </c>
      <c r="C235" s="4" t="s">
        <v>23</v>
      </c>
      <c r="D235" s="4" t="s">
        <v>42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44593</v>
      </c>
      <c r="J235" s="6">
        <v>0</v>
      </c>
      <c r="K235" s="6">
        <v>0</v>
      </c>
      <c r="L235" s="6">
        <v>128.40199999999999</v>
      </c>
      <c r="M235" s="6">
        <v>128.40199999999999</v>
      </c>
      <c r="N235" s="6">
        <v>128.40199999999999</v>
      </c>
      <c r="O235" s="6">
        <v>128.40199999999999</v>
      </c>
      <c r="P235" s="6">
        <v>331</v>
      </c>
      <c r="Q235" s="4" t="s">
        <v>26</v>
      </c>
      <c r="R235" s="4">
        <v>0</v>
      </c>
      <c r="S235" s="6">
        <v>0</v>
      </c>
      <c r="T235" s="6">
        <v>39</v>
      </c>
      <c r="U235" s="6">
        <v>10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406.8</v>
      </c>
      <c r="X235" s="6">
        <f>IF(ISERROR(VLOOKUP($U$235,'TAR FIN'!$A$1:$O$85,15,0)),0,VLOOKUP($U$235,'TAR FIN'!$A$1:$O$85,15,0))</f>
        <v>195</v>
      </c>
      <c r="Y235" s="6"/>
      <c r="Z235" s="6">
        <f ca="1">('TUSD BE'!$AM$33+'TUSD BF'!$AM$33+'TUSD CVA'!$AM$33)*(1-CUSTOS!$M$38)</f>
        <v>456.17471841965244</v>
      </c>
      <c r="AA235" s="6">
        <f>('TE BE'!$AB$24+'TE BF'!$AB$24+'TE CVA'!$AB$24)*(1-CUSTOS!$M$38)</f>
        <v>253.05683058374245</v>
      </c>
      <c r="AB235" s="6">
        <f>$K$235*$V$235</f>
        <v>0</v>
      </c>
      <c r="AC235" s="6">
        <f>$M$235*$W$235</f>
        <v>52233.933599999997</v>
      </c>
      <c r="AD235" s="6">
        <f>$O$235*$X$235</f>
        <v>25038.389999999996</v>
      </c>
      <c r="AE235" s="6">
        <f>$K$235*$Y$235</f>
        <v>0</v>
      </c>
      <c r="AF235" s="6">
        <f ca="1">$M$235*$Z$235</f>
        <v>58573.746194520209</v>
      </c>
      <c r="AG235" s="6">
        <f>$O$235*$AA$235</f>
        <v>32493.003160613694</v>
      </c>
    </row>
    <row r="236" spans="1:33" ht="11.25" customHeight="1" x14ac:dyDescent="0.3">
      <c r="A236" s="4" t="s">
        <v>28</v>
      </c>
      <c r="B236" s="4" t="s">
        <v>41</v>
      </c>
      <c r="C236" s="4" t="s">
        <v>23</v>
      </c>
      <c r="D236" s="4" t="s">
        <v>42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44593</v>
      </c>
      <c r="J236" s="6">
        <v>0</v>
      </c>
      <c r="K236" s="6">
        <v>0</v>
      </c>
      <c r="L236" s="6">
        <v>1.198</v>
      </c>
      <c r="M236" s="6">
        <v>1.198</v>
      </c>
      <c r="N236" s="6">
        <v>1.198</v>
      </c>
      <c r="O236" s="6">
        <v>1.198</v>
      </c>
      <c r="P236" s="6">
        <v>4</v>
      </c>
      <c r="Q236" s="4" t="s">
        <v>26</v>
      </c>
      <c r="R236" s="4">
        <v>0</v>
      </c>
      <c r="S236" s="6">
        <v>0</v>
      </c>
      <c r="T236" s="6">
        <v>39</v>
      </c>
      <c r="U236" s="6">
        <v>10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406.8</v>
      </c>
      <c r="X236" s="6">
        <f>IF(ISERROR(VLOOKUP($U$236,'TAR FIN'!$A$1:$O$85,15,0)),0,VLOOKUP($U$236,'TAR FIN'!$A$1:$O$85,15,0))</f>
        <v>195</v>
      </c>
      <c r="Y236" s="6"/>
      <c r="Z236" s="6">
        <f ca="1">('TUSD BE'!$AM$33+'TUSD BF'!$AM$33+'TUSD CVA'!$AM$33)*(1-CUSTOS!$M$38)</f>
        <v>456.17471841965244</v>
      </c>
      <c r="AA236" s="6">
        <f>('TE BE'!$AB$24+'TE BF'!$AB$24+'TE CVA'!$AB$24)*(1-CUSTOS!$M$38)</f>
        <v>253.05683058374245</v>
      </c>
      <c r="AB236" s="6">
        <f>$K$236*$V$236</f>
        <v>0</v>
      </c>
      <c r="AC236" s="6">
        <f>$M$236*$W$236</f>
        <v>487.34640000000002</v>
      </c>
      <c r="AD236" s="6">
        <f>$O$236*$X$236</f>
        <v>233.60999999999999</v>
      </c>
      <c r="AE236" s="6">
        <f>$K$236*$Y$236</f>
        <v>0</v>
      </c>
      <c r="AF236" s="6">
        <f ca="1">$M$236*$Z$236</f>
        <v>546.4973126667436</v>
      </c>
      <c r="AG236" s="6">
        <f>$O$236*$AA$236</f>
        <v>303.16208303932342</v>
      </c>
    </row>
    <row r="237" spans="1:33" ht="11.25" customHeight="1" x14ac:dyDescent="0.3">
      <c r="A237" s="4" t="s">
        <v>28</v>
      </c>
      <c r="B237" s="4" t="s">
        <v>41</v>
      </c>
      <c r="C237" s="4" t="s">
        <v>23</v>
      </c>
      <c r="D237" s="4" t="s">
        <v>42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44593</v>
      </c>
      <c r="J237" s="6">
        <v>0</v>
      </c>
      <c r="K237" s="6">
        <v>0</v>
      </c>
      <c r="L237" s="6">
        <v>-0.82199999999999995</v>
      </c>
      <c r="M237" s="6">
        <v>-0.82199999999999995</v>
      </c>
      <c r="N237" s="6">
        <v>-0.82199999999999995</v>
      </c>
      <c r="O237" s="6">
        <v>-0.82199999999999995</v>
      </c>
      <c r="P237" s="6">
        <v>2</v>
      </c>
      <c r="Q237" s="4" t="s">
        <v>26</v>
      </c>
      <c r="R237" s="4">
        <v>0</v>
      </c>
      <c r="S237" s="6">
        <v>0</v>
      </c>
      <c r="T237" s="6">
        <v>39</v>
      </c>
      <c r="U237" s="6">
        <v>10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406.8</v>
      </c>
      <c r="X237" s="6">
        <f>IF(ISERROR(VLOOKUP($U$237,'TAR FIN'!$A$1:$O$85,15,0)),0,VLOOKUP($U$237,'TAR FIN'!$A$1:$O$85,15,0))</f>
        <v>195</v>
      </c>
      <c r="Y237" s="6"/>
      <c r="Z237" s="6">
        <f ca="1">('TUSD BE'!$AM$33+'TUSD BF'!$AM$33+'TUSD CVA'!$AM$33)*(1-CUSTOS!$M$38)</f>
        <v>456.17471841965244</v>
      </c>
      <c r="AA237" s="6">
        <f>('TE BE'!$AB$24+'TE BF'!$AB$24+'TE CVA'!$AB$24)*(1-CUSTOS!$M$38)</f>
        <v>253.05683058374245</v>
      </c>
      <c r="AB237" s="6">
        <f>$K$237*$V$237</f>
        <v>0</v>
      </c>
      <c r="AC237" s="6">
        <f>$M$237*$W$237</f>
        <v>-334.38959999999997</v>
      </c>
      <c r="AD237" s="6">
        <f>$O$237*$X$237</f>
        <v>-160.29</v>
      </c>
      <c r="AE237" s="6">
        <f>$K$237*$Y$237</f>
        <v>0</v>
      </c>
      <c r="AF237" s="6">
        <f ca="1">$M$237*$Z$237</f>
        <v>-374.97561854095426</v>
      </c>
      <c r="AG237" s="6">
        <f>$O$237*$AA$237</f>
        <v>-208.0127147398363</v>
      </c>
    </row>
    <row r="238" spans="1:33" ht="11.25" customHeight="1" x14ac:dyDescent="0.3">
      <c r="A238" s="4" t="s">
        <v>21</v>
      </c>
      <c r="B238" s="4" t="s">
        <v>41</v>
      </c>
      <c r="C238" s="4" t="s">
        <v>23</v>
      </c>
      <c r="D238" s="4" t="s">
        <v>42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44621</v>
      </c>
      <c r="J238" s="6">
        <v>0</v>
      </c>
      <c r="K238" s="6">
        <v>0</v>
      </c>
      <c r="L238" s="6">
        <v>132.58600000000001</v>
      </c>
      <c r="M238" s="6">
        <v>132.58600000000001</v>
      </c>
      <c r="N238" s="6">
        <v>132.58600000000001</v>
      </c>
      <c r="O238" s="6">
        <v>132.58600000000001</v>
      </c>
      <c r="P238" s="6">
        <v>332</v>
      </c>
      <c r="Q238" s="4" t="s">
        <v>26</v>
      </c>
      <c r="R238" s="4">
        <v>0</v>
      </c>
      <c r="S238" s="6">
        <v>0</v>
      </c>
      <c r="T238" s="6">
        <v>39</v>
      </c>
      <c r="U238" s="6">
        <v>10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406.8</v>
      </c>
      <c r="X238" s="6">
        <f>IF(ISERROR(VLOOKUP($U$238,'TAR FIN'!$A$1:$O$85,15,0)),0,VLOOKUP($U$238,'TAR FIN'!$A$1:$O$85,15,0))</f>
        <v>195</v>
      </c>
      <c r="Y238" s="6"/>
      <c r="Z238" s="6">
        <f ca="1">('TUSD BE'!$AM$33+'TUSD BF'!$AM$33+'TUSD CVA'!$AM$33)*(1-CUSTOS!$M$38)</f>
        <v>456.17471841965244</v>
      </c>
      <c r="AA238" s="6">
        <f>('TE BE'!$AB$24+'TE BF'!$AB$24+'TE CVA'!$AB$24)*(1-CUSTOS!$M$38)</f>
        <v>253.05683058374245</v>
      </c>
      <c r="AB238" s="6">
        <f>$K$238*$V$238</f>
        <v>0</v>
      </c>
      <c r="AC238" s="6">
        <f>$M$238*$W$238</f>
        <v>53935.984800000006</v>
      </c>
      <c r="AD238" s="6">
        <f>$O$238*$X$238</f>
        <v>25854.270000000004</v>
      </c>
      <c r="AE238" s="6">
        <f>$K$238*$Y$238</f>
        <v>0</v>
      </c>
      <c r="AF238" s="6">
        <f ca="1">$M$238*$Z$238</f>
        <v>60482.381216388043</v>
      </c>
      <c r="AG238" s="6">
        <f>$O$238*$AA$238</f>
        <v>33551.792939776082</v>
      </c>
    </row>
    <row r="239" spans="1:33" ht="11.25" customHeight="1" x14ac:dyDescent="0.3">
      <c r="A239" s="4" t="s">
        <v>21</v>
      </c>
      <c r="B239" s="4" t="s">
        <v>41</v>
      </c>
      <c r="C239" s="4" t="s">
        <v>23</v>
      </c>
      <c r="D239" s="4" t="s">
        <v>42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44652</v>
      </c>
      <c r="J239" s="6">
        <v>0</v>
      </c>
      <c r="K239" s="6">
        <v>0</v>
      </c>
      <c r="L239" s="6">
        <v>122.051</v>
      </c>
      <c r="M239" s="6">
        <v>122.051</v>
      </c>
      <c r="N239" s="6">
        <v>122.051</v>
      </c>
      <c r="O239" s="6">
        <v>122.051</v>
      </c>
      <c r="P239" s="6">
        <v>327</v>
      </c>
      <c r="Q239" s="4" t="s">
        <v>26</v>
      </c>
      <c r="R239" s="4">
        <v>0</v>
      </c>
      <c r="S239" s="6">
        <v>0</v>
      </c>
      <c r="T239" s="6">
        <v>39</v>
      </c>
      <c r="U239" s="6">
        <v>10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406.8</v>
      </c>
      <c r="X239" s="6">
        <f>IF(ISERROR(VLOOKUP($U$239,'TAR FIN'!$A$1:$O$85,15,0)),0,VLOOKUP($U$239,'TAR FIN'!$A$1:$O$85,15,0))</f>
        <v>195</v>
      </c>
      <c r="Y239" s="6"/>
      <c r="Z239" s="6">
        <f ca="1">('TUSD BE'!$AM$33+'TUSD BF'!$AM$33+'TUSD CVA'!$AM$33)*(1-CUSTOS!$M$38)</f>
        <v>456.17471841965244</v>
      </c>
      <c r="AA239" s="6">
        <f>('TE BE'!$AB$24+'TE BF'!$AB$24+'TE CVA'!$AB$24)*(1-CUSTOS!$M$38)</f>
        <v>253.05683058374245</v>
      </c>
      <c r="AB239" s="6">
        <f>$K$239*$V$239</f>
        <v>0</v>
      </c>
      <c r="AC239" s="6">
        <f>$M$239*$W$239</f>
        <v>49650.346799999999</v>
      </c>
      <c r="AD239" s="6">
        <f>$O$239*$X$239</f>
        <v>23799.945</v>
      </c>
      <c r="AE239" s="6">
        <f>$K$239*$Y$239</f>
        <v>0</v>
      </c>
      <c r="AF239" s="6">
        <f ca="1">$M$239*$Z$239</f>
        <v>55676.580557836998</v>
      </c>
      <c r="AG239" s="6">
        <f>$O$239*$AA$239</f>
        <v>30885.839229576351</v>
      </c>
    </row>
    <row r="240" spans="1:33" ht="11.25" customHeight="1" x14ac:dyDescent="0.3">
      <c r="A240" s="4" t="s">
        <v>28</v>
      </c>
      <c r="B240" s="4" t="s">
        <v>41</v>
      </c>
      <c r="C240" s="4" t="s">
        <v>23</v>
      </c>
      <c r="D240" s="4" t="s">
        <v>42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44652</v>
      </c>
      <c r="J240" s="6">
        <v>0</v>
      </c>
      <c r="K240" s="6">
        <v>0</v>
      </c>
      <c r="L240" s="6">
        <v>3.11</v>
      </c>
      <c r="M240" s="6">
        <v>3.11</v>
      </c>
      <c r="N240" s="6">
        <v>3.11</v>
      </c>
      <c r="O240" s="6">
        <v>3.11</v>
      </c>
      <c r="P240" s="6">
        <v>6</v>
      </c>
      <c r="Q240" s="4" t="s">
        <v>26</v>
      </c>
      <c r="R240" s="4">
        <v>0</v>
      </c>
      <c r="S240" s="6">
        <v>0</v>
      </c>
      <c r="T240" s="6">
        <v>39</v>
      </c>
      <c r="U240" s="6">
        <v>10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406.8</v>
      </c>
      <c r="X240" s="6">
        <f>IF(ISERROR(VLOOKUP($U$240,'TAR FIN'!$A$1:$O$85,15,0)),0,VLOOKUP($U$240,'TAR FIN'!$A$1:$O$85,15,0))</f>
        <v>195</v>
      </c>
      <c r="Y240" s="6"/>
      <c r="Z240" s="6">
        <f ca="1">('TUSD BE'!$AM$33+'TUSD BF'!$AM$33+'TUSD CVA'!$AM$33)*(1-CUSTOS!$M$38)</f>
        <v>456.17471841965244</v>
      </c>
      <c r="AA240" s="6">
        <f>('TE BE'!$AB$24+'TE BF'!$AB$24+'TE CVA'!$AB$24)*(1-CUSTOS!$M$38)</f>
        <v>253.05683058374245</v>
      </c>
      <c r="AB240" s="6">
        <f>$K$240*$V$240</f>
        <v>0</v>
      </c>
      <c r="AC240" s="6">
        <f>$M$240*$W$240</f>
        <v>1265.1479999999999</v>
      </c>
      <c r="AD240" s="6">
        <f>$O$240*$X$240</f>
        <v>606.44999999999993</v>
      </c>
      <c r="AE240" s="6">
        <f>$K$240*$Y$240</f>
        <v>0</v>
      </c>
      <c r="AF240" s="6">
        <f ca="1">$M$240*$Z$240</f>
        <v>1418.703374285119</v>
      </c>
      <c r="AG240" s="6">
        <f>$O$240*$AA$240</f>
        <v>787.00674311543901</v>
      </c>
    </row>
    <row r="241" spans="1:33" ht="11.25" customHeight="1" x14ac:dyDescent="0.3">
      <c r="A241" s="4" t="s">
        <v>21</v>
      </c>
      <c r="B241" s="4" t="s">
        <v>41</v>
      </c>
      <c r="C241" s="4" t="s">
        <v>23</v>
      </c>
      <c r="D241" s="4" t="s">
        <v>42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44682</v>
      </c>
      <c r="J241" s="6">
        <v>0</v>
      </c>
      <c r="K241" s="6">
        <v>0</v>
      </c>
      <c r="L241" s="6">
        <v>112.93300000000001</v>
      </c>
      <c r="M241" s="6">
        <v>112.93300000000001</v>
      </c>
      <c r="N241" s="6">
        <v>112.93300000000001</v>
      </c>
      <c r="O241" s="6">
        <v>112.93300000000001</v>
      </c>
      <c r="P241" s="6">
        <v>330</v>
      </c>
      <c r="Q241" s="4" t="s">
        <v>26</v>
      </c>
      <c r="R241" s="4">
        <v>0</v>
      </c>
      <c r="S241" s="6">
        <v>0</v>
      </c>
      <c r="T241" s="6">
        <v>39</v>
      </c>
      <c r="U241" s="6">
        <v>10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406.8</v>
      </c>
      <c r="X241" s="6">
        <f>IF(ISERROR(VLOOKUP($U$241,'TAR FIN'!$A$1:$O$85,15,0)),0,VLOOKUP($U$241,'TAR FIN'!$A$1:$O$85,15,0))</f>
        <v>195</v>
      </c>
      <c r="Y241" s="6"/>
      <c r="Z241" s="6">
        <f ca="1">('TUSD BE'!$AM$33+'TUSD BF'!$AM$33+'TUSD CVA'!$AM$33)*(1-CUSTOS!$M$38)</f>
        <v>456.17471841965244</v>
      </c>
      <c r="AA241" s="6">
        <f>('TE BE'!$AB$24+'TE BF'!$AB$24+'TE CVA'!$AB$24)*(1-CUSTOS!$M$38)</f>
        <v>253.05683058374245</v>
      </c>
      <c r="AB241" s="6">
        <f>$K$241*$V$241</f>
        <v>0</v>
      </c>
      <c r="AC241" s="6">
        <f>$M$241*$W$241</f>
        <v>45941.144400000005</v>
      </c>
      <c r="AD241" s="6">
        <f>$O$241*$X$241</f>
        <v>22021.935000000001</v>
      </c>
      <c r="AE241" s="6">
        <f>$K$241*$Y$241</f>
        <v>0</v>
      </c>
      <c r="AF241" s="6">
        <f ca="1">$M$241*$Z$241</f>
        <v>51517.179475286612</v>
      </c>
      <c r="AG241" s="6">
        <f>$O$241*$AA$241</f>
        <v>28578.467048313789</v>
      </c>
    </row>
    <row r="242" spans="1:33" ht="11.25" customHeight="1" x14ac:dyDescent="0.3">
      <c r="A242" s="4" t="s">
        <v>27</v>
      </c>
      <c r="B242" s="4" t="s">
        <v>41</v>
      </c>
      <c r="C242" s="4" t="s">
        <v>23</v>
      </c>
      <c r="D242" s="4" t="s">
        <v>42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44682</v>
      </c>
      <c r="J242" s="6">
        <v>0</v>
      </c>
      <c r="K242" s="6">
        <v>0</v>
      </c>
      <c r="L242" s="6">
        <v>2.222</v>
      </c>
      <c r="M242" s="6">
        <v>2.222</v>
      </c>
      <c r="N242" s="6">
        <v>2.222</v>
      </c>
      <c r="O242" s="6">
        <v>2.222</v>
      </c>
      <c r="P242" s="6">
        <v>0</v>
      </c>
      <c r="Q242" s="4" t="s">
        <v>26</v>
      </c>
      <c r="R242" s="4">
        <v>0</v>
      </c>
      <c r="S242" s="6">
        <v>0</v>
      </c>
      <c r="T242" s="6">
        <v>39</v>
      </c>
      <c r="U242" s="6">
        <v>10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406.8</v>
      </c>
      <c r="X242" s="6">
        <f>IF(ISERROR(VLOOKUP($U$242,'TAR FIN'!$A$1:$O$85,15,0)),0,VLOOKUP($U$242,'TAR FIN'!$A$1:$O$85,15,0))</f>
        <v>195</v>
      </c>
      <c r="Y242" s="6"/>
      <c r="Z242" s="6">
        <f ca="1">('TUSD BE'!$AM$33+'TUSD BF'!$AM$33+'TUSD CVA'!$AM$33)*(1-CUSTOS!$M$38)</f>
        <v>456.17471841965244</v>
      </c>
      <c r="AA242" s="6">
        <f>('TE BE'!$AB$24+'TE BF'!$AB$24+'TE CVA'!$AB$24)*(1-CUSTOS!$M$38)</f>
        <v>253.05683058374245</v>
      </c>
      <c r="AB242" s="6">
        <f>$K$242*$V$242</f>
        <v>0</v>
      </c>
      <c r="AC242" s="6">
        <f>$M$242*$W$242</f>
        <v>903.90960000000007</v>
      </c>
      <c r="AD242" s="6">
        <f>$O$242*$X$242</f>
        <v>433.29</v>
      </c>
      <c r="AE242" s="6">
        <f>$K$242*$Y$242</f>
        <v>0</v>
      </c>
      <c r="AF242" s="6">
        <f ca="1">$M$242*$Z$242</f>
        <v>1013.6202243284677</v>
      </c>
      <c r="AG242" s="6">
        <f>$O$242*$AA$242</f>
        <v>562.29227755707575</v>
      </c>
    </row>
    <row r="243" spans="1:33" ht="11.25" customHeight="1" x14ac:dyDescent="0.3">
      <c r="A243" s="4" t="s">
        <v>28</v>
      </c>
      <c r="B243" s="4" t="s">
        <v>41</v>
      </c>
      <c r="C243" s="4" t="s">
        <v>23</v>
      </c>
      <c r="D243" s="4" t="s">
        <v>42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44682</v>
      </c>
      <c r="J243" s="6">
        <v>0</v>
      </c>
      <c r="K243" s="6">
        <v>0</v>
      </c>
      <c r="L243" s="6">
        <v>2.544</v>
      </c>
      <c r="M243" s="6">
        <v>2.544</v>
      </c>
      <c r="N243" s="6">
        <v>2.544</v>
      </c>
      <c r="O243" s="6">
        <v>2.544</v>
      </c>
      <c r="P243" s="6">
        <v>6</v>
      </c>
      <c r="Q243" s="4" t="s">
        <v>26</v>
      </c>
      <c r="R243" s="4">
        <v>0</v>
      </c>
      <c r="S243" s="6">
        <v>0</v>
      </c>
      <c r="T243" s="6">
        <v>39</v>
      </c>
      <c r="U243" s="6">
        <v>10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406.8</v>
      </c>
      <c r="X243" s="6">
        <f>IF(ISERROR(VLOOKUP($U$243,'TAR FIN'!$A$1:$O$85,15,0)),0,VLOOKUP($U$243,'TAR FIN'!$A$1:$O$85,15,0))</f>
        <v>195</v>
      </c>
      <c r="Y243" s="6"/>
      <c r="Z243" s="6">
        <f ca="1">('TUSD BE'!$AM$33+'TUSD BF'!$AM$33+'TUSD CVA'!$AM$33)*(1-CUSTOS!$M$38)</f>
        <v>456.17471841965244</v>
      </c>
      <c r="AA243" s="6">
        <f>('TE BE'!$AB$24+'TE BF'!$AB$24+'TE CVA'!$AB$24)*(1-CUSTOS!$M$38)</f>
        <v>253.05683058374245</v>
      </c>
      <c r="AB243" s="6">
        <f>$K$243*$V$243</f>
        <v>0</v>
      </c>
      <c r="AC243" s="6">
        <f>$M$243*$W$243</f>
        <v>1034.8992000000001</v>
      </c>
      <c r="AD243" s="6">
        <f>$O$243*$X$243</f>
        <v>496.08</v>
      </c>
      <c r="AE243" s="6">
        <f>$K$243*$Y$243</f>
        <v>0</v>
      </c>
      <c r="AF243" s="6">
        <f ca="1">$M$243*$Z$243</f>
        <v>1160.5084836595959</v>
      </c>
      <c r="AG243" s="6">
        <f>$O$243*$AA$243</f>
        <v>643.77657700504085</v>
      </c>
    </row>
    <row r="244" spans="1:33" ht="11.25" customHeight="1" x14ac:dyDescent="0.3">
      <c r="A244" s="4" t="s">
        <v>21</v>
      </c>
      <c r="B244" s="4" t="s">
        <v>41</v>
      </c>
      <c r="C244" s="4" t="s">
        <v>23</v>
      </c>
      <c r="D244" s="4" t="s">
        <v>42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44713</v>
      </c>
      <c r="J244" s="6">
        <v>0</v>
      </c>
      <c r="K244" s="6">
        <v>0</v>
      </c>
      <c r="L244" s="6">
        <v>94.849000000000004</v>
      </c>
      <c r="M244" s="6">
        <v>94.849000000000004</v>
      </c>
      <c r="N244" s="6">
        <v>94.849000000000004</v>
      </c>
      <c r="O244" s="6">
        <v>94.849000000000004</v>
      </c>
      <c r="P244" s="6">
        <v>325</v>
      </c>
      <c r="Q244" s="4" t="s">
        <v>26</v>
      </c>
      <c r="R244" s="4">
        <v>0</v>
      </c>
      <c r="S244" s="6">
        <v>0</v>
      </c>
      <c r="T244" s="6">
        <v>39</v>
      </c>
      <c r="U244" s="6">
        <v>10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406.8</v>
      </c>
      <c r="X244" s="6">
        <f>IF(ISERROR(VLOOKUP($U$244,'TAR FIN'!$A$1:$O$85,15,0)),0,VLOOKUP($U$244,'TAR FIN'!$A$1:$O$85,15,0))</f>
        <v>195</v>
      </c>
      <c r="Y244" s="6"/>
      <c r="Z244" s="6">
        <f ca="1">('TUSD BE'!$AM$33+'TUSD BF'!$AM$33+'TUSD CVA'!$AM$33)*(1-CUSTOS!$M$38)</f>
        <v>456.17471841965244</v>
      </c>
      <c r="AA244" s="6">
        <f>('TE BE'!$AB$24+'TE BF'!$AB$24+'TE CVA'!$AB$24)*(1-CUSTOS!$M$38)</f>
        <v>253.05683058374245</v>
      </c>
      <c r="AB244" s="6">
        <f>$K$244*$V$244</f>
        <v>0</v>
      </c>
      <c r="AC244" s="6">
        <f>$M$244*$W$244</f>
        <v>38584.573200000006</v>
      </c>
      <c r="AD244" s="6">
        <f>$O$244*$X$244</f>
        <v>18495.555</v>
      </c>
      <c r="AE244" s="6">
        <f>$K$244*$Y$244</f>
        <v>0</v>
      </c>
      <c r="AF244" s="6">
        <f ca="1">$M$244*$Z$244</f>
        <v>43267.715867385617</v>
      </c>
      <c r="AG244" s="6">
        <f>$O$244*$AA$244</f>
        <v>24002.18732403739</v>
      </c>
    </row>
    <row r="245" spans="1:33" ht="11.25" customHeight="1" x14ac:dyDescent="0.3">
      <c r="A245" s="4" t="s">
        <v>27</v>
      </c>
      <c r="B245" s="4" t="s">
        <v>41</v>
      </c>
      <c r="C245" s="4" t="s">
        <v>23</v>
      </c>
      <c r="D245" s="4" t="s">
        <v>42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44713</v>
      </c>
      <c r="J245" s="6">
        <v>0</v>
      </c>
      <c r="K245" s="6">
        <v>0</v>
      </c>
      <c r="L245" s="6">
        <v>-0.58599999999999997</v>
      </c>
      <c r="M245" s="6">
        <v>-0.58599999999999997</v>
      </c>
      <c r="N245" s="6">
        <v>-0.58599999999999997</v>
      </c>
      <c r="O245" s="6">
        <v>-0.58599999999999997</v>
      </c>
      <c r="P245" s="6">
        <v>0</v>
      </c>
      <c r="Q245" s="4" t="s">
        <v>26</v>
      </c>
      <c r="R245" s="4">
        <v>0</v>
      </c>
      <c r="S245" s="6">
        <v>0</v>
      </c>
      <c r="T245" s="6">
        <v>39</v>
      </c>
      <c r="U245" s="6">
        <v>10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406.8</v>
      </c>
      <c r="X245" s="6">
        <f>IF(ISERROR(VLOOKUP($U$245,'TAR FIN'!$A$1:$O$85,15,0)),0,VLOOKUP($U$245,'TAR FIN'!$A$1:$O$85,15,0))</f>
        <v>195</v>
      </c>
      <c r="Y245" s="6"/>
      <c r="Z245" s="6">
        <f ca="1">('TUSD BE'!$AM$33+'TUSD BF'!$AM$33+'TUSD CVA'!$AM$33)*(1-CUSTOS!$M$38)</f>
        <v>456.17471841965244</v>
      </c>
      <c r="AA245" s="6">
        <f>('TE BE'!$AB$24+'TE BF'!$AB$24+'TE CVA'!$AB$24)*(1-CUSTOS!$M$38)</f>
        <v>253.05683058374245</v>
      </c>
      <c r="AB245" s="6">
        <f>$K$245*$V$245</f>
        <v>0</v>
      </c>
      <c r="AC245" s="6">
        <f>$M$245*$W$245</f>
        <v>-238.38479999999998</v>
      </c>
      <c r="AD245" s="6">
        <f>$O$245*$X$245</f>
        <v>-114.27</v>
      </c>
      <c r="AE245" s="6">
        <f>$K$245*$Y$245</f>
        <v>0</v>
      </c>
      <c r="AF245" s="6">
        <f ca="1">$M$245*$Z$245</f>
        <v>-267.31838499391631</v>
      </c>
      <c r="AG245" s="6">
        <f>$O$245*$AA$245</f>
        <v>-148.29130272207306</v>
      </c>
    </row>
    <row r="246" spans="1:33" ht="11.25" customHeight="1" x14ac:dyDescent="0.3">
      <c r="A246" s="4" t="s">
        <v>28</v>
      </c>
      <c r="B246" s="4" t="s">
        <v>41</v>
      </c>
      <c r="C246" s="4" t="s">
        <v>23</v>
      </c>
      <c r="D246" s="4" t="s">
        <v>42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44713</v>
      </c>
      <c r="J246" s="6">
        <v>0</v>
      </c>
      <c r="K246" s="6">
        <v>0</v>
      </c>
      <c r="L246" s="6">
        <v>1.64</v>
      </c>
      <c r="M246" s="6">
        <v>1.64</v>
      </c>
      <c r="N246" s="6">
        <v>1.64</v>
      </c>
      <c r="O246" s="6">
        <v>1.64</v>
      </c>
      <c r="P246" s="6">
        <v>5</v>
      </c>
      <c r="Q246" s="4" t="s">
        <v>26</v>
      </c>
      <c r="R246" s="4">
        <v>0</v>
      </c>
      <c r="S246" s="6">
        <v>0</v>
      </c>
      <c r="T246" s="6">
        <v>39</v>
      </c>
      <c r="U246" s="6">
        <v>10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406.8</v>
      </c>
      <c r="X246" s="6">
        <f>IF(ISERROR(VLOOKUP($U$246,'TAR FIN'!$A$1:$O$85,15,0)),0,VLOOKUP($U$246,'TAR FIN'!$A$1:$O$85,15,0))</f>
        <v>195</v>
      </c>
      <c r="Y246" s="6"/>
      <c r="Z246" s="6">
        <f ca="1">('TUSD BE'!$AM$33+'TUSD BF'!$AM$33+'TUSD CVA'!$AM$33)*(1-CUSTOS!$M$38)</f>
        <v>456.17471841965244</v>
      </c>
      <c r="AA246" s="6">
        <f>('TE BE'!$AB$24+'TE BF'!$AB$24+'TE CVA'!$AB$24)*(1-CUSTOS!$M$38)</f>
        <v>253.05683058374245</v>
      </c>
      <c r="AB246" s="6">
        <f>$K$246*$V$246</f>
        <v>0</v>
      </c>
      <c r="AC246" s="6">
        <f>$M$246*$W$246</f>
        <v>667.15199999999993</v>
      </c>
      <c r="AD246" s="6">
        <f>$O$246*$X$246</f>
        <v>319.79999999999995</v>
      </c>
      <c r="AE246" s="6">
        <f>$K$246*$Y$246</f>
        <v>0</v>
      </c>
      <c r="AF246" s="6">
        <f ca="1">$M$246*$Z$246</f>
        <v>748.12653820822993</v>
      </c>
      <c r="AG246" s="6">
        <f>$O$246*$AA$246</f>
        <v>415.01320215733762</v>
      </c>
    </row>
    <row r="247" spans="1:33" ht="11.25" customHeight="1" x14ac:dyDescent="0.3">
      <c r="A247" s="4" t="s">
        <v>21</v>
      </c>
      <c r="B247" s="4" t="s">
        <v>41</v>
      </c>
      <c r="C247" s="4" t="s">
        <v>23</v>
      </c>
      <c r="D247" s="4" t="s">
        <v>42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44743</v>
      </c>
      <c r="J247" s="6">
        <v>0</v>
      </c>
      <c r="K247" s="6">
        <v>0</v>
      </c>
      <c r="L247" s="6">
        <v>99.789000000000001</v>
      </c>
      <c r="M247" s="6">
        <v>99.789000000000001</v>
      </c>
      <c r="N247" s="6">
        <v>99.789000000000001</v>
      </c>
      <c r="O247" s="6">
        <v>99.789000000000001</v>
      </c>
      <c r="P247" s="6">
        <v>321</v>
      </c>
      <c r="Q247" s="4" t="s">
        <v>26</v>
      </c>
      <c r="R247" s="4">
        <v>0</v>
      </c>
      <c r="S247" s="6">
        <v>0</v>
      </c>
      <c r="T247" s="6">
        <v>39</v>
      </c>
      <c r="U247" s="6">
        <v>10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406.8</v>
      </c>
      <c r="X247" s="6">
        <f>IF(ISERROR(VLOOKUP($U$247,'TAR FIN'!$A$1:$O$85,15,0)),0,VLOOKUP($U$247,'TAR FIN'!$A$1:$O$85,15,0))</f>
        <v>195</v>
      </c>
      <c r="Y247" s="6"/>
      <c r="Z247" s="6">
        <f ca="1">('TUSD BE'!$AM$33+'TUSD BF'!$AM$33+'TUSD CVA'!$AM$33)*(1-CUSTOS!$M$38)</f>
        <v>456.17471841965244</v>
      </c>
      <c r="AA247" s="6">
        <f>('TE BE'!$AB$24+'TE BF'!$AB$24+'TE CVA'!$AB$24)*(1-CUSTOS!$M$38)</f>
        <v>253.05683058374245</v>
      </c>
      <c r="AB247" s="6">
        <f>$K$247*$V$247</f>
        <v>0</v>
      </c>
      <c r="AC247" s="6">
        <f>$M$247*$W$247</f>
        <v>40594.165200000003</v>
      </c>
      <c r="AD247" s="6">
        <f>$O$247*$X$247</f>
        <v>19458.855</v>
      </c>
      <c r="AE247" s="6">
        <f>$K$247*$Y$247</f>
        <v>0</v>
      </c>
      <c r="AF247" s="6">
        <f ca="1">$M$247*$Z$247</f>
        <v>45521.218976378696</v>
      </c>
      <c r="AG247" s="6">
        <f>$O$247*$AA$247</f>
        <v>25252.288067121077</v>
      </c>
    </row>
    <row r="248" spans="1:33" ht="11.25" customHeight="1" x14ac:dyDescent="0.3">
      <c r="A248" s="4" t="s">
        <v>28</v>
      </c>
      <c r="B248" s="4" t="s">
        <v>41</v>
      </c>
      <c r="C248" s="4" t="s">
        <v>23</v>
      </c>
      <c r="D248" s="4" t="s">
        <v>42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44743</v>
      </c>
      <c r="J248" s="6">
        <v>0</v>
      </c>
      <c r="K248" s="6">
        <v>0</v>
      </c>
      <c r="L248" s="6">
        <v>1.3460000000000001</v>
      </c>
      <c r="M248" s="6">
        <v>1.3460000000000001</v>
      </c>
      <c r="N248" s="6">
        <v>1.3460000000000001</v>
      </c>
      <c r="O248" s="6">
        <v>1.3460000000000001</v>
      </c>
      <c r="P248" s="6">
        <v>6</v>
      </c>
      <c r="Q248" s="4" t="s">
        <v>26</v>
      </c>
      <c r="R248" s="4">
        <v>0</v>
      </c>
      <c r="S248" s="6">
        <v>0</v>
      </c>
      <c r="T248" s="6">
        <v>39</v>
      </c>
      <c r="U248" s="6">
        <v>10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406.8</v>
      </c>
      <c r="X248" s="6">
        <f>IF(ISERROR(VLOOKUP($U$248,'TAR FIN'!$A$1:$O$85,15,0)),0,VLOOKUP($U$248,'TAR FIN'!$A$1:$O$85,15,0))</f>
        <v>195</v>
      </c>
      <c r="Y248" s="6"/>
      <c r="Z248" s="6">
        <f ca="1">('TUSD BE'!$AM$33+'TUSD BF'!$AM$33+'TUSD CVA'!$AM$33)*(1-CUSTOS!$M$38)</f>
        <v>456.17471841965244</v>
      </c>
      <c r="AA248" s="6">
        <f>('TE BE'!$AB$24+'TE BF'!$AB$24+'TE CVA'!$AB$24)*(1-CUSTOS!$M$38)</f>
        <v>253.05683058374245</v>
      </c>
      <c r="AB248" s="6">
        <f>$K$248*$V$248</f>
        <v>0</v>
      </c>
      <c r="AC248" s="6">
        <f>$M$248*$W$248</f>
        <v>547.55280000000005</v>
      </c>
      <c r="AD248" s="6">
        <f>$O$248*$X$248</f>
        <v>262.47000000000003</v>
      </c>
      <c r="AE248" s="6">
        <f>$K$248*$Y$248</f>
        <v>0</v>
      </c>
      <c r="AF248" s="6">
        <f ca="1">$M$248*$Z$248</f>
        <v>614.01117099285227</v>
      </c>
      <c r="AG248" s="6">
        <f>$O$248*$AA$248</f>
        <v>340.61449396571737</v>
      </c>
    </row>
    <row r="249" spans="1:33" ht="11.25" customHeight="1" x14ac:dyDescent="0.3">
      <c r="A249" s="4" t="s">
        <v>21</v>
      </c>
      <c r="B249" s="4" t="s">
        <v>41</v>
      </c>
      <c r="C249" s="4" t="s">
        <v>23</v>
      </c>
      <c r="D249" s="4" t="s">
        <v>42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44774</v>
      </c>
      <c r="J249" s="6">
        <v>0</v>
      </c>
      <c r="K249" s="6">
        <v>0</v>
      </c>
      <c r="L249" s="6">
        <v>102.925</v>
      </c>
      <c r="M249" s="6">
        <v>102.925</v>
      </c>
      <c r="N249" s="6">
        <v>102.925</v>
      </c>
      <c r="O249" s="6">
        <v>102.925</v>
      </c>
      <c r="P249" s="6">
        <v>320</v>
      </c>
      <c r="Q249" s="4" t="s">
        <v>26</v>
      </c>
      <c r="R249" s="4">
        <v>0</v>
      </c>
      <c r="S249" s="6">
        <v>0</v>
      </c>
      <c r="T249" s="6">
        <v>39</v>
      </c>
      <c r="U249" s="6">
        <v>10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406.8</v>
      </c>
      <c r="X249" s="6">
        <f>IF(ISERROR(VLOOKUP($U$249,'TAR FIN'!$A$1:$O$85,15,0)),0,VLOOKUP($U$249,'TAR FIN'!$A$1:$O$85,15,0))</f>
        <v>195</v>
      </c>
      <c r="Y249" s="6"/>
      <c r="Z249" s="6">
        <f ca="1">('TUSD BE'!$AM$33+'TUSD BF'!$AM$33+'TUSD CVA'!$AM$33)*(1-CUSTOS!$M$38)</f>
        <v>456.17471841965244</v>
      </c>
      <c r="AA249" s="6">
        <f>('TE BE'!$AB$24+'TE BF'!$AB$24+'TE CVA'!$AB$24)*(1-CUSTOS!$M$38)</f>
        <v>253.05683058374245</v>
      </c>
      <c r="AB249" s="6">
        <f>$K$249*$V$249</f>
        <v>0</v>
      </c>
      <c r="AC249" s="6">
        <f>$M$249*$W$249</f>
        <v>41869.89</v>
      </c>
      <c r="AD249" s="6">
        <f>$O$249*$X$249</f>
        <v>20070.375</v>
      </c>
      <c r="AE249" s="6">
        <f>$K$249*$Y$249</f>
        <v>0</v>
      </c>
      <c r="AF249" s="6">
        <f ca="1">$M$249*$Z$249</f>
        <v>46951.782893342723</v>
      </c>
      <c r="AG249" s="6">
        <f>$O$249*$AA$249</f>
        <v>26045.874287831692</v>
      </c>
    </row>
    <row r="250" spans="1:33" ht="11.25" customHeight="1" x14ac:dyDescent="0.3">
      <c r="A250" s="4" t="s">
        <v>27</v>
      </c>
      <c r="B250" s="4" t="s">
        <v>41</v>
      </c>
      <c r="C250" s="4" t="s">
        <v>23</v>
      </c>
      <c r="D250" s="4" t="s">
        <v>42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44774</v>
      </c>
      <c r="J250" s="6">
        <v>0</v>
      </c>
      <c r="K250" s="6">
        <v>0</v>
      </c>
      <c r="L250" s="6">
        <v>-8.0000000000000002E-3</v>
      </c>
      <c r="M250" s="6">
        <v>-8.0000000000000002E-3</v>
      </c>
      <c r="N250" s="6">
        <v>-8.0000000000000002E-3</v>
      </c>
      <c r="O250" s="6">
        <v>-8.0000000000000002E-3</v>
      </c>
      <c r="P250" s="6">
        <v>0</v>
      </c>
      <c r="Q250" s="4" t="s">
        <v>26</v>
      </c>
      <c r="R250" s="4">
        <v>0</v>
      </c>
      <c r="S250" s="6">
        <v>0</v>
      </c>
      <c r="T250" s="6">
        <v>39</v>
      </c>
      <c r="U250" s="6">
        <v>10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406.8</v>
      </c>
      <c r="X250" s="6">
        <f>IF(ISERROR(VLOOKUP($U$250,'TAR FIN'!$A$1:$O$85,15,0)),0,VLOOKUP($U$250,'TAR FIN'!$A$1:$O$85,15,0))</f>
        <v>195</v>
      </c>
      <c r="Y250" s="6"/>
      <c r="Z250" s="6">
        <f ca="1">('TUSD BE'!$AM$33+'TUSD BF'!$AM$33+'TUSD CVA'!$AM$33)*(1-CUSTOS!$M$38)</f>
        <v>456.17471841965244</v>
      </c>
      <c r="AA250" s="6">
        <f>('TE BE'!$AB$24+'TE BF'!$AB$24+'TE CVA'!$AB$24)*(1-CUSTOS!$M$38)</f>
        <v>253.05683058374245</v>
      </c>
      <c r="AB250" s="6">
        <f>$K$250*$V$250</f>
        <v>0</v>
      </c>
      <c r="AC250" s="6">
        <f>$M$250*$W$250</f>
        <v>-3.2544</v>
      </c>
      <c r="AD250" s="6">
        <f>$O$250*$X$250</f>
        <v>-1.56</v>
      </c>
      <c r="AE250" s="6">
        <f>$K$250*$Y$250</f>
        <v>0</v>
      </c>
      <c r="AF250" s="6">
        <f ca="1">$M$250*$Z$250</f>
        <v>-3.6493977473572197</v>
      </c>
      <c r="AG250" s="6">
        <f>$O$250*$AA$250</f>
        <v>-2.0244546446699396</v>
      </c>
    </row>
    <row r="251" spans="1:33" ht="11.25" customHeight="1" x14ac:dyDescent="0.3">
      <c r="A251" s="4" t="s">
        <v>28</v>
      </c>
      <c r="B251" s="4" t="s">
        <v>41</v>
      </c>
      <c r="C251" s="4" t="s">
        <v>23</v>
      </c>
      <c r="D251" s="4" t="s">
        <v>42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44774</v>
      </c>
      <c r="J251" s="6">
        <v>0</v>
      </c>
      <c r="K251" s="6">
        <v>0</v>
      </c>
      <c r="L251" s="6">
        <v>1.403</v>
      </c>
      <c r="M251" s="6">
        <v>1.403</v>
      </c>
      <c r="N251" s="6">
        <v>1.403</v>
      </c>
      <c r="O251" s="6">
        <v>1.403</v>
      </c>
      <c r="P251" s="6">
        <v>6</v>
      </c>
      <c r="Q251" s="4" t="s">
        <v>26</v>
      </c>
      <c r="R251" s="4">
        <v>0</v>
      </c>
      <c r="S251" s="6">
        <v>0</v>
      </c>
      <c r="T251" s="6">
        <v>39</v>
      </c>
      <c r="U251" s="6">
        <v>10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406.8</v>
      </c>
      <c r="X251" s="6">
        <f>IF(ISERROR(VLOOKUP($U$251,'TAR FIN'!$A$1:$O$85,15,0)),0,VLOOKUP($U$251,'TAR FIN'!$A$1:$O$85,15,0))</f>
        <v>195</v>
      </c>
      <c r="Y251" s="6"/>
      <c r="Z251" s="6">
        <f ca="1">('TUSD BE'!$AM$33+'TUSD BF'!$AM$33+'TUSD CVA'!$AM$33)*(1-CUSTOS!$M$38)</f>
        <v>456.17471841965244</v>
      </c>
      <c r="AA251" s="6">
        <f>('TE BE'!$AB$24+'TE BF'!$AB$24+'TE CVA'!$AB$24)*(1-CUSTOS!$M$38)</f>
        <v>253.05683058374245</v>
      </c>
      <c r="AB251" s="6">
        <f>$K$251*$V$251</f>
        <v>0</v>
      </c>
      <c r="AC251" s="6">
        <f>$M$251*$W$251</f>
        <v>570.74040000000002</v>
      </c>
      <c r="AD251" s="6">
        <f>$O$251*$X$251</f>
        <v>273.58499999999998</v>
      </c>
      <c r="AE251" s="6">
        <f>$K$251*$Y$251</f>
        <v>0</v>
      </c>
      <c r="AF251" s="6">
        <f ca="1">$M$251*$Z$251</f>
        <v>640.01312994277237</v>
      </c>
      <c r="AG251" s="6">
        <f>$O$251*$AA$251</f>
        <v>355.03873330899069</v>
      </c>
    </row>
    <row r="252" spans="1:33" ht="11.25" customHeight="1" x14ac:dyDescent="0.3">
      <c r="A252" s="4" t="s">
        <v>21</v>
      </c>
      <c r="B252" s="4" t="s">
        <v>36</v>
      </c>
      <c r="C252" s="4" t="s">
        <v>23</v>
      </c>
      <c r="D252" s="4" t="s">
        <v>37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44440</v>
      </c>
      <c r="J252" s="6">
        <v>0</v>
      </c>
      <c r="K252" s="6">
        <v>0</v>
      </c>
      <c r="L252" s="6">
        <v>17.372</v>
      </c>
      <c r="M252" s="6">
        <v>17.372</v>
      </c>
      <c r="N252" s="6">
        <v>17.372</v>
      </c>
      <c r="O252" s="6">
        <v>17.372</v>
      </c>
      <c r="P252" s="6">
        <v>43</v>
      </c>
      <c r="Q252" s="4" t="s">
        <v>26</v>
      </c>
      <c r="R252" s="4">
        <v>0</v>
      </c>
      <c r="S252" s="6">
        <v>0</v>
      </c>
      <c r="T252" s="6">
        <v>61</v>
      </c>
      <c r="U252" s="6">
        <v>2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462.27</v>
      </c>
      <c r="X252" s="6">
        <f>IF(ISERROR(VLOOKUP($U$252,'TAR FIN'!$A$1:$O$85,15,0)),0,VLOOKUP($U$252,'TAR FIN'!$A$1:$O$85,15,0))</f>
        <v>221.6</v>
      </c>
      <c r="Y252" s="6"/>
      <c r="Z252" s="6">
        <f ca="1">('TUSD BE'!$AM$48+'TUSD BF'!$AM$48+'TUSD CVA'!$AM$48)*1</f>
        <v>485.29225363792813</v>
      </c>
      <c r="AA252" s="6">
        <f>('TE BE'!$AB$39+'TE BF'!$AB$39+'TE CVA'!$AB$39)*1</f>
        <v>269.20939423802389</v>
      </c>
      <c r="AB252" s="6">
        <f>$K$252*$V$252</f>
        <v>0</v>
      </c>
      <c r="AC252" s="6">
        <f>$M$252*$W$252</f>
        <v>8030.5544399999999</v>
      </c>
      <c r="AD252" s="6">
        <f>$O$252*$X$252</f>
        <v>3849.6351999999997</v>
      </c>
      <c r="AE252" s="6">
        <f>$K$252*$Y$252</f>
        <v>0</v>
      </c>
      <c r="AF252" s="6">
        <f ca="1">$M$252*$Z$252</f>
        <v>8430.4970301980866</v>
      </c>
      <c r="AG252" s="6">
        <f>$O$252*$AA$252</f>
        <v>4676.705596702951</v>
      </c>
    </row>
    <row r="253" spans="1:33" ht="11.25" customHeight="1" x14ac:dyDescent="0.3">
      <c r="A253" s="4" t="s">
        <v>21</v>
      </c>
      <c r="B253" s="4" t="s">
        <v>36</v>
      </c>
      <c r="C253" s="4" t="s">
        <v>23</v>
      </c>
      <c r="D253" s="4" t="s">
        <v>37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44470</v>
      </c>
      <c r="J253" s="6">
        <v>0</v>
      </c>
      <c r="K253" s="6">
        <v>0</v>
      </c>
      <c r="L253" s="6">
        <v>15.944000000000001</v>
      </c>
      <c r="M253" s="6">
        <v>15.944000000000001</v>
      </c>
      <c r="N253" s="6">
        <v>15.944000000000001</v>
      </c>
      <c r="O253" s="6">
        <v>15.944000000000001</v>
      </c>
      <c r="P253" s="6">
        <v>43</v>
      </c>
      <c r="Q253" s="4" t="s">
        <v>26</v>
      </c>
      <c r="R253" s="4">
        <v>0</v>
      </c>
      <c r="S253" s="6">
        <v>0</v>
      </c>
      <c r="T253" s="6">
        <v>61</v>
      </c>
      <c r="U253" s="6">
        <v>2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462.27</v>
      </c>
      <c r="X253" s="6">
        <f>IF(ISERROR(VLOOKUP($U$253,'TAR FIN'!$A$1:$O$85,15,0)),0,VLOOKUP($U$253,'TAR FIN'!$A$1:$O$85,15,0))</f>
        <v>221.6</v>
      </c>
      <c r="Y253" s="6"/>
      <c r="Z253" s="6">
        <f ca="1">('TUSD BE'!$AM$48+'TUSD BF'!$AM$48+'TUSD CVA'!$AM$48)*1</f>
        <v>485.29225363792813</v>
      </c>
      <c r="AA253" s="6">
        <f>('TE BE'!$AB$39+'TE BF'!$AB$39+'TE CVA'!$AB$39)*1</f>
        <v>269.20939423802389</v>
      </c>
      <c r="AB253" s="6">
        <f>$K$253*$V$253</f>
        <v>0</v>
      </c>
      <c r="AC253" s="6">
        <f>$M$253*$W$253</f>
        <v>7370.4328800000003</v>
      </c>
      <c r="AD253" s="6">
        <f>$O$253*$X$253</f>
        <v>3533.1904</v>
      </c>
      <c r="AE253" s="6">
        <f>$K$253*$Y$253</f>
        <v>0</v>
      </c>
      <c r="AF253" s="6">
        <f ca="1">$M$253*$Z$253</f>
        <v>7737.4996920031263</v>
      </c>
      <c r="AG253" s="6">
        <f>$O$253*$AA$253</f>
        <v>4292.2745817310533</v>
      </c>
    </row>
    <row r="254" spans="1:33" ht="11.25" customHeight="1" x14ac:dyDescent="0.3">
      <c r="A254" s="4" t="s">
        <v>21</v>
      </c>
      <c r="B254" s="4" t="s">
        <v>36</v>
      </c>
      <c r="C254" s="4" t="s">
        <v>23</v>
      </c>
      <c r="D254" s="4" t="s">
        <v>37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44501</v>
      </c>
      <c r="J254" s="6">
        <v>0</v>
      </c>
      <c r="K254" s="6">
        <v>0</v>
      </c>
      <c r="L254" s="6">
        <v>15.157</v>
      </c>
      <c r="M254" s="6">
        <v>15.157</v>
      </c>
      <c r="N254" s="6">
        <v>15.157</v>
      </c>
      <c r="O254" s="6">
        <v>15.157</v>
      </c>
      <c r="P254" s="6">
        <v>42</v>
      </c>
      <c r="Q254" s="4" t="s">
        <v>26</v>
      </c>
      <c r="R254" s="4">
        <v>0</v>
      </c>
      <c r="S254" s="6">
        <v>0</v>
      </c>
      <c r="T254" s="6">
        <v>61</v>
      </c>
      <c r="U254" s="6">
        <v>2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462.27</v>
      </c>
      <c r="X254" s="6">
        <f>IF(ISERROR(VLOOKUP($U$254,'TAR FIN'!$A$1:$O$85,15,0)),0,VLOOKUP($U$254,'TAR FIN'!$A$1:$O$85,15,0))</f>
        <v>221.6</v>
      </c>
      <c r="Y254" s="6"/>
      <c r="Z254" s="6">
        <f ca="1">('TUSD BE'!$AM$48+'TUSD BF'!$AM$48+'TUSD CVA'!$AM$48)*1</f>
        <v>485.29225363792813</v>
      </c>
      <c r="AA254" s="6">
        <f>('TE BE'!$AB$39+'TE BF'!$AB$39+'TE CVA'!$AB$39)*1</f>
        <v>269.20939423802389</v>
      </c>
      <c r="AB254" s="6">
        <f>$K$254*$V$254</f>
        <v>0</v>
      </c>
      <c r="AC254" s="6">
        <f>$M$254*$W$254</f>
        <v>7006.6263899999994</v>
      </c>
      <c r="AD254" s="6">
        <f>$O$254*$X$254</f>
        <v>3358.7912000000001</v>
      </c>
      <c r="AE254" s="6">
        <f>$K$254*$Y$254</f>
        <v>0</v>
      </c>
      <c r="AF254" s="6">
        <f ca="1">$M$254*$Z$254</f>
        <v>7355.5746883900765</v>
      </c>
      <c r="AG254" s="6">
        <f>$O$254*$AA$254</f>
        <v>4080.4067884657279</v>
      </c>
    </row>
    <row r="255" spans="1:33" ht="11.25" customHeight="1" x14ac:dyDescent="0.3">
      <c r="A255" s="4" t="s">
        <v>21</v>
      </c>
      <c r="B255" s="4" t="s">
        <v>36</v>
      </c>
      <c r="C255" s="4" t="s">
        <v>23</v>
      </c>
      <c r="D255" s="4" t="s">
        <v>37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44531</v>
      </c>
      <c r="J255" s="6">
        <v>0</v>
      </c>
      <c r="K255" s="6">
        <v>0</v>
      </c>
      <c r="L255" s="6">
        <v>16.385000000000002</v>
      </c>
      <c r="M255" s="6">
        <v>16.385000000000002</v>
      </c>
      <c r="N255" s="6">
        <v>16.385000000000002</v>
      </c>
      <c r="O255" s="6">
        <v>16.385000000000002</v>
      </c>
      <c r="P255" s="6">
        <v>43</v>
      </c>
      <c r="Q255" s="4" t="s">
        <v>26</v>
      </c>
      <c r="R255" s="4">
        <v>0</v>
      </c>
      <c r="S255" s="6">
        <v>0</v>
      </c>
      <c r="T255" s="6">
        <v>61</v>
      </c>
      <c r="U255" s="6">
        <v>2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462.27</v>
      </c>
      <c r="X255" s="6">
        <f>IF(ISERROR(VLOOKUP($U$255,'TAR FIN'!$A$1:$O$85,15,0)),0,VLOOKUP($U$255,'TAR FIN'!$A$1:$O$85,15,0))</f>
        <v>221.6</v>
      </c>
      <c r="Y255" s="6"/>
      <c r="Z255" s="6">
        <f ca="1">('TUSD BE'!$AM$48+'TUSD BF'!$AM$48+'TUSD CVA'!$AM$48)*1</f>
        <v>485.29225363792813</v>
      </c>
      <c r="AA255" s="6">
        <f>('TE BE'!$AB$39+'TE BF'!$AB$39+'TE CVA'!$AB$39)*1</f>
        <v>269.20939423802389</v>
      </c>
      <c r="AB255" s="6">
        <f>$K$255*$V$255</f>
        <v>0</v>
      </c>
      <c r="AC255" s="6">
        <f>$M$255*$W$255</f>
        <v>7574.2939500000002</v>
      </c>
      <c r="AD255" s="6">
        <f>$O$255*$X$255</f>
        <v>3630.9160000000002</v>
      </c>
      <c r="AE255" s="6">
        <f>$K$255*$Y$255</f>
        <v>0</v>
      </c>
      <c r="AF255" s="6">
        <f ca="1">$M$255*$Z$255</f>
        <v>7951.5135758574534</v>
      </c>
      <c r="AG255" s="6">
        <f>$O$255*$AA$255</f>
        <v>4410.9959245900218</v>
      </c>
    </row>
    <row r="256" spans="1:33" ht="11.25" customHeight="1" x14ac:dyDescent="0.3">
      <c r="A256" s="4" t="s">
        <v>21</v>
      </c>
      <c r="B256" s="4" t="s">
        <v>36</v>
      </c>
      <c r="C256" s="4" t="s">
        <v>23</v>
      </c>
      <c r="D256" s="4" t="s">
        <v>37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44562</v>
      </c>
      <c r="J256" s="6">
        <v>0</v>
      </c>
      <c r="K256" s="6">
        <v>0</v>
      </c>
      <c r="L256" s="6">
        <v>19.715</v>
      </c>
      <c r="M256" s="6">
        <v>19.715</v>
      </c>
      <c r="N256" s="6">
        <v>19.715</v>
      </c>
      <c r="O256" s="6">
        <v>19.715</v>
      </c>
      <c r="P256" s="6">
        <v>42</v>
      </c>
      <c r="Q256" s="4" t="s">
        <v>26</v>
      </c>
      <c r="R256" s="4">
        <v>0</v>
      </c>
      <c r="S256" s="6">
        <v>0</v>
      </c>
      <c r="T256" s="6">
        <v>61</v>
      </c>
      <c r="U256" s="6">
        <v>2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462.27</v>
      </c>
      <c r="X256" s="6">
        <f>IF(ISERROR(VLOOKUP($U$256,'TAR FIN'!$A$1:$O$85,15,0)),0,VLOOKUP($U$256,'TAR FIN'!$A$1:$O$85,15,0))</f>
        <v>221.6</v>
      </c>
      <c r="Y256" s="6"/>
      <c r="Z256" s="6">
        <f ca="1">('TUSD BE'!$AM$48+'TUSD BF'!$AM$48+'TUSD CVA'!$AM$48)*1</f>
        <v>485.29225363792813</v>
      </c>
      <c r="AA256" s="6">
        <f>('TE BE'!$AB$39+'TE BF'!$AB$39+'TE CVA'!$AB$39)*1</f>
        <v>269.20939423802389</v>
      </c>
      <c r="AB256" s="6">
        <f>$K$256*$V$256</f>
        <v>0</v>
      </c>
      <c r="AC256" s="6">
        <f>$M$256*$W$256</f>
        <v>9113.653049999999</v>
      </c>
      <c r="AD256" s="6">
        <f>$O$256*$X$256</f>
        <v>4368.8440000000001</v>
      </c>
      <c r="AE256" s="6">
        <f>$K$256*$Y$256</f>
        <v>0</v>
      </c>
      <c r="AF256" s="6">
        <f ca="1">$M$256*$Z$256</f>
        <v>9567.5367804717534</v>
      </c>
      <c r="AG256" s="6">
        <f>$O$256*$AA$256</f>
        <v>5307.4632074026413</v>
      </c>
    </row>
    <row r="257" spans="1:33" ht="11.25" customHeight="1" x14ac:dyDescent="0.3">
      <c r="A257" s="4" t="s">
        <v>21</v>
      </c>
      <c r="B257" s="4" t="s">
        <v>36</v>
      </c>
      <c r="C257" s="4" t="s">
        <v>23</v>
      </c>
      <c r="D257" s="4" t="s">
        <v>37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16.547999999999998</v>
      </c>
      <c r="M257" s="6">
        <v>16.547999999999998</v>
      </c>
      <c r="N257" s="6">
        <v>16.547999999999998</v>
      </c>
      <c r="O257" s="6">
        <v>16.547999999999998</v>
      </c>
      <c r="P257" s="6">
        <v>43</v>
      </c>
      <c r="Q257" s="4" t="s">
        <v>26</v>
      </c>
      <c r="R257" s="4">
        <v>0</v>
      </c>
      <c r="S257" s="6">
        <v>0</v>
      </c>
      <c r="T257" s="6">
        <v>61</v>
      </c>
      <c r="U257" s="6">
        <v>2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462.27</v>
      </c>
      <c r="X257" s="6">
        <f>IF(ISERROR(VLOOKUP($U$257,'TAR FIN'!$A$1:$O$85,15,0)),0,VLOOKUP($U$257,'TAR FIN'!$A$1:$O$85,15,0))</f>
        <v>221.6</v>
      </c>
      <c r="Y257" s="6"/>
      <c r="Z257" s="6">
        <f ca="1">('TUSD BE'!$AM$48+'TUSD BF'!$AM$48+'TUSD CVA'!$AM$48)*1</f>
        <v>485.29225363792813</v>
      </c>
      <c r="AA257" s="6">
        <f>('TE BE'!$AB$39+'TE BF'!$AB$39+'TE CVA'!$AB$39)*1</f>
        <v>269.20939423802389</v>
      </c>
      <c r="AB257" s="6">
        <f>$K$257*$V$257</f>
        <v>0</v>
      </c>
      <c r="AC257" s="6">
        <f>$M$257*$W$257</f>
        <v>7649.6439599999985</v>
      </c>
      <c r="AD257" s="6">
        <f>$O$257*$X$257</f>
        <v>3667.0367999999994</v>
      </c>
      <c r="AE257" s="6">
        <f>$K$257*$Y$257</f>
        <v>0</v>
      </c>
      <c r="AF257" s="6">
        <f ca="1">$M$257*$Z$257</f>
        <v>8030.6162132004338</v>
      </c>
      <c r="AG257" s="6">
        <f>$O$257*$AA$257</f>
        <v>4454.8770558508186</v>
      </c>
    </row>
    <row r="258" spans="1:33" ht="11.25" customHeight="1" x14ac:dyDescent="0.3">
      <c r="A258" s="4" t="s">
        <v>21</v>
      </c>
      <c r="B258" s="4" t="s">
        <v>36</v>
      </c>
      <c r="C258" s="4" t="s">
        <v>23</v>
      </c>
      <c r="D258" s="4" t="s">
        <v>37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19.779</v>
      </c>
      <c r="M258" s="6">
        <v>19.779</v>
      </c>
      <c r="N258" s="6">
        <v>19.779</v>
      </c>
      <c r="O258" s="6">
        <v>19.779</v>
      </c>
      <c r="P258" s="6">
        <v>44</v>
      </c>
      <c r="Q258" s="4" t="s">
        <v>26</v>
      </c>
      <c r="R258" s="4">
        <v>0</v>
      </c>
      <c r="S258" s="6">
        <v>0</v>
      </c>
      <c r="T258" s="6">
        <v>61</v>
      </c>
      <c r="U258" s="6">
        <v>2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462.27</v>
      </c>
      <c r="X258" s="6">
        <f>IF(ISERROR(VLOOKUP($U$258,'TAR FIN'!$A$1:$O$85,15,0)),0,VLOOKUP($U$258,'TAR FIN'!$A$1:$O$85,15,0))</f>
        <v>221.6</v>
      </c>
      <c r="Y258" s="6"/>
      <c r="Z258" s="6">
        <f ca="1">('TUSD BE'!$AM$48+'TUSD BF'!$AM$48+'TUSD CVA'!$AM$48)*1</f>
        <v>485.29225363792813</v>
      </c>
      <c r="AA258" s="6">
        <f>('TE BE'!$AB$39+'TE BF'!$AB$39+'TE CVA'!$AB$39)*1</f>
        <v>269.20939423802389</v>
      </c>
      <c r="AB258" s="6">
        <f>$K$258*$V$258</f>
        <v>0</v>
      </c>
      <c r="AC258" s="6">
        <f>$M$258*$W$258</f>
        <v>9143.2383300000001</v>
      </c>
      <c r="AD258" s="6">
        <f>$O$258*$X$258</f>
        <v>4383.0263999999997</v>
      </c>
      <c r="AE258" s="6">
        <f>$K$258*$Y$258</f>
        <v>0</v>
      </c>
      <c r="AF258" s="6">
        <f ca="1">$M$258*$Z$258</f>
        <v>9598.5954847045796</v>
      </c>
      <c r="AG258" s="6">
        <f>$O$258*$AA$258</f>
        <v>5324.6926086338744</v>
      </c>
    </row>
    <row r="259" spans="1:33" ht="11.25" customHeight="1" x14ac:dyDescent="0.3">
      <c r="A259" s="4" t="s">
        <v>21</v>
      </c>
      <c r="B259" s="4" t="s">
        <v>36</v>
      </c>
      <c r="C259" s="4" t="s">
        <v>23</v>
      </c>
      <c r="D259" s="4" t="s">
        <v>37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44652</v>
      </c>
      <c r="J259" s="6">
        <v>0</v>
      </c>
      <c r="K259" s="6">
        <v>0</v>
      </c>
      <c r="L259" s="6">
        <v>16.95</v>
      </c>
      <c r="M259" s="6">
        <v>16.95</v>
      </c>
      <c r="N259" s="6">
        <v>16.95</v>
      </c>
      <c r="O259" s="6">
        <v>16.95</v>
      </c>
      <c r="P259" s="6">
        <v>43</v>
      </c>
      <c r="Q259" s="4" t="s">
        <v>26</v>
      </c>
      <c r="R259" s="4">
        <v>0</v>
      </c>
      <c r="S259" s="6">
        <v>0</v>
      </c>
      <c r="T259" s="6">
        <v>61</v>
      </c>
      <c r="U259" s="6">
        <v>2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462.27</v>
      </c>
      <c r="X259" s="6">
        <f>IF(ISERROR(VLOOKUP($U$259,'TAR FIN'!$A$1:$O$85,15,0)),0,VLOOKUP($U$259,'TAR FIN'!$A$1:$O$85,15,0))</f>
        <v>221.6</v>
      </c>
      <c r="Y259" s="6"/>
      <c r="Z259" s="6">
        <f ca="1">('TUSD BE'!$AM$48+'TUSD BF'!$AM$48+'TUSD CVA'!$AM$48)*1</f>
        <v>485.29225363792813</v>
      </c>
      <c r="AA259" s="6">
        <f>('TE BE'!$AB$39+'TE BF'!$AB$39+'TE CVA'!$AB$39)*1</f>
        <v>269.20939423802389</v>
      </c>
      <c r="AB259" s="6">
        <f>$K$259*$V$259</f>
        <v>0</v>
      </c>
      <c r="AC259" s="6">
        <f>$M$259*$W$259</f>
        <v>7835.4764999999998</v>
      </c>
      <c r="AD259" s="6">
        <f>$O$259*$X$259</f>
        <v>3756.12</v>
      </c>
      <c r="AE259" s="6">
        <f>$K$259*$Y$259</f>
        <v>0</v>
      </c>
      <c r="AF259" s="6">
        <f ca="1">$M$259*$Z$259</f>
        <v>8225.7036991628811</v>
      </c>
      <c r="AG259" s="6">
        <f>$O$259*$AA$259</f>
        <v>4563.0992323345044</v>
      </c>
    </row>
    <row r="260" spans="1:33" ht="11.25" customHeight="1" x14ac:dyDescent="0.3">
      <c r="A260" s="4" t="s">
        <v>21</v>
      </c>
      <c r="B260" s="4" t="s">
        <v>36</v>
      </c>
      <c r="C260" s="4" t="s">
        <v>23</v>
      </c>
      <c r="D260" s="4" t="s">
        <v>37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44682</v>
      </c>
      <c r="J260" s="6">
        <v>0</v>
      </c>
      <c r="K260" s="6">
        <v>0</v>
      </c>
      <c r="L260" s="6">
        <v>19.076000000000001</v>
      </c>
      <c r="M260" s="6">
        <v>19.076000000000001</v>
      </c>
      <c r="N260" s="6">
        <v>19.076000000000001</v>
      </c>
      <c r="O260" s="6">
        <v>19.076000000000001</v>
      </c>
      <c r="P260" s="6">
        <v>43</v>
      </c>
      <c r="Q260" s="4" t="s">
        <v>26</v>
      </c>
      <c r="R260" s="4">
        <v>0</v>
      </c>
      <c r="S260" s="6">
        <v>0</v>
      </c>
      <c r="T260" s="6">
        <v>61</v>
      </c>
      <c r="U260" s="6">
        <v>2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462.27</v>
      </c>
      <c r="X260" s="6">
        <f>IF(ISERROR(VLOOKUP($U$260,'TAR FIN'!$A$1:$O$85,15,0)),0,VLOOKUP($U$260,'TAR FIN'!$A$1:$O$85,15,0))</f>
        <v>221.6</v>
      </c>
      <c r="Y260" s="6"/>
      <c r="Z260" s="6">
        <f ca="1">('TUSD BE'!$AM$48+'TUSD BF'!$AM$48+'TUSD CVA'!$AM$48)*1</f>
        <v>485.29225363792813</v>
      </c>
      <c r="AA260" s="6">
        <f>('TE BE'!$AB$39+'TE BF'!$AB$39+'TE CVA'!$AB$39)*1</f>
        <v>269.20939423802389</v>
      </c>
      <c r="AB260" s="6">
        <f>$K$260*$V$260</f>
        <v>0</v>
      </c>
      <c r="AC260" s="6">
        <f>$M$260*$W$260</f>
        <v>8818.2625200000002</v>
      </c>
      <c r="AD260" s="6">
        <f>$O$260*$X$260</f>
        <v>4227.2416000000003</v>
      </c>
      <c r="AE260" s="6">
        <f>$K$260*$Y$260</f>
        <v>0</v>
      </c>
      <c r="AF260" s="6">
        <f ca="1">$M$260*$Z$260</f>
        <v>9257.4350303971169</v>
      </c>
      <c r="AG260" s="6">
        <f>$O$260*$AA$260</f>
        <v>5135.4384044845438</v>
      </c>
    </row>
    <row r="261" spans="1:33" ht="11.25" customHeight="1" x14ac:dyDescent="0.3">
      <c r="A261" s="4" t="s">
        <v>21</v>
      </c>
      <c r="B261" s="4" t="s">
        <v>36</v>
      </c>
      <c r="C261" s="4" t="s">
        <v>23</v>
      </c>
      <c r="D261" s="4" t="s">
        <v>37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44713</v>
      </c>
      <c r="J261" s="6">
        <v>0</v>
      </c>
      <c r="K261" s="6">
        <v>0</v>
      </c>
      <c r="L261" s="6">
        <v>16.850000000000001</v>
      </c>
      <c r="M261" s="6">
        <v>16.850000000000001</v>
      </c>
      <c r="N261" s="6">
        <v>16.850000000000001</v>
      </c>
      <c r="O261" s="6">
        <v>16.850000000000001</v>
      </c>
      <c r="P261" s="6">
        <v>43</v>
      </c>
      <c r="Q261" s="4" t="s">
        <v>26</v>
      </c>
      <c r="R261" s="4">
        <v>0</v>
      </c>
      <c r="S261" s="6">
        <v>0</v>
      </c>
      <c r="T261" s="6">
        <v>61</v>
      </c>
      <c r="U261" s="6">
        <v>2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462.27</v>
      </c>
      <c r="X261" s="6">
        <f>IF(ISERROR(VLOOKUP($U$261,'TAR FIN'!$A$1:$O$85,15,0)),0,VLOOKUP($U$261,'TAR FIN'!$A$1:$O$85,15,0))</f>
        <v>221.6</v>
      </c>
      <c r="Y261" s="6"/>
      <c r="Z261" s="6">
        <f ca="1">('TUSD BE'!$AM$48+'TUSD BF'!$AM$48+'TUSD CVA'!$AM$48)*1</f>
        <v>485.29225363792813</v>
      </c>
      <c r="AA261" s="6">
        <f>('TE BE'!$AB$39+'TE BF'!$AB$39+'TE CVA'!$AB$39)*1</f>
        <v>269.20939423802389</v>
      </c>
      <c r="AB261" s="6">
        <f>$K$261*$V$261</f>
        <v>0</v>
      </c>
      <c r="AC261" s="6">
        <f>$M$261*$W$261</f>
        <v>7789.2494999999999</v>
      </c>
      <c r="AD261" s="6">
        <f>$O$261*$X$261</f>
        <v>3733.96</v>
      </c>
      <c r="AE261" s="6">
        <f>$K$261*$Y$261</f>
        <v>0</v>
      </c>
      <c r="AF261" s="6">
        <f ca="1">$M$261*$Z$261</f>
        <v>8177.1744737990894</v>
      </c>
      <c r="AG261" s="6">
        <f>$O$261*$AA$261</f>
        <v>4536.178292910703</v>
      </c>
    </row>
    <row r="262" spans="1:33" ht="11.25" customHeight="1" x14ac:dyDescent="0.3">
      <c r="A262" s="4" t="s">
        <v>27</v>
      </c>
      <c r="B262" s="4" t="s">
        <v>36</v>
      </c>
      <c r="C262" s="4" t="s">
        <v>23</v>
      </c>
      <c r="D262" s="4" t="s">
        <v>37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44713</v>
      </c>
      <c r="J262" s="6">
        <v>0</v>
      </c>
      <c r="K262" s="6">
        <v>0</v>
      </c>
      <c r="L262" s="6">
        <v>-0.26300000000000001</v>
      </c>
      <c r="M262" s="6">
        <v>-0.26300000000000001</v>
      </c>
      <c r="N262" s="6">
        <v>-0.26300000000000001</v>
      </c>
      <c r="O262" s="6">
        <v>-0.26300000000000001</v>
      </c>
      <c r="P262" s="6">
        <v>0</v>
      </c>
      <c r="Q262" s="4" t="s">
        <v>26</v>
      </c>
      <c r="R262" s="4">
        <v>0</v>
      </c>
      <c r="S262" s="6">
        <v>0</v>
      </c>
      <c r="T262" s="6">
        <v>61</v>
      </c>
      <c r="U262" s="6">
        <v>2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462.27</v>
      </c>
      <c r="X262" s="6">
        <f>IF(ISERROR(VLOOKUP($U$262,'TAR FIN'!$A$1:$O$85,15,0)),0,VLOOKUP($U$262,'TAR FIN'!$A$1:$O$85,15,0))</f>
        <v>221.6</v>
      </c>
      <c r="Y262" s="6"/>
      <c r="Z262" s="6">
        <f ca="1">('TUSD BE'!$AM$48+'TUSD BF'!$AM$48+'TUSD CVA'!$AM$48)*1</f>
        <v>485.29225363792813</v>
      </c>
      <c r="AA262" s="6">
        <f>('TE BE'!$AB$39+'TE BF'!$AB$39+'TE CVA'!$AB$39)*1</f>
        <v>269.20939423802389</v>
      </c>
      <c r="AB262" s="6">
        <f>$K$262*$V$262</f>
        <v>0</v>
      </c>
      <c r="AC262" s="6">
        <f>$M$262*$W$262</f>
        <v>-121.57701</v>
      </c>
      <c r="AD262" s="6">
        <f>$O$262*$X$262</f>
        <v>-58.280799999999999</v>
      </c>
      <c r="AE262" s="6">
        <f>$K$262*$Y$262</f>
        <v>0</v>
      </c>
      <c r="AF262" s="6">
        <f ca="1">$M$262*$Z$262</f>
        <v>-127.63186270677511</v>
      </c>
      <c r="AG262" s="6">
        <f>$O$262*$AA$262</f>
        <v>-70.802070684600281</v>
      </c>
    </row>
    <row r="263" spans="1:33" ht="11.25" customHeight="1" x14ac:dyDescent="0.3">
      <c r="A263" s="4" t="s">
        <v>21</v>
      </c>
      <c r="B263" s="4" t="s">
        <v>36</v>
      </c>
      <c r="C263" s="4" t="s">
        <v>23</v>
      </c>
      <c r="D263" s="4" t="s">
        <v>37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44743</v>
      </c>
      <c r="J263" s="6">
        <v>0</v>
      </c>
      <c r="K263" s="6">
        <v>0</v>
      </c>
      <c r="L263" s="6">
        <v>16.61</v>
      </c>
      <c r="M263" s="6">
        <v>16.61</v>
      </c>
      <c r="N263" s="6">
        <v>16.61</v>
      </c>
      <c r="O263" s="6">
        <v>16.61</v>
      </c>
      <c r="P263" s="6">
        <v>44</v>
      </c>
      <c r="Q263" s="4" t="s">
        <v>26</v>
      </c>
      <c r="R263" s="4">
        <v>0</v>
      </c>
      <c r="S263" s="6">
        <v>0</v>
      </c>
      <c r="T263" s="6">
        <v>61</v>
      </c>
      <c r="U263" s="6">
        <v>2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462.27</v>
      </c>
      <c r="X263" s="6">
        <f>IF(ISERROR(VLOOKUP($U$263,'TAR FIN'!$A$1:$O$85,15,0)),0,VLOOKUP($U$263,'TAR FIN'!$A$1:$O$85,15,0))</f>
        <v>221.6</v>
      </c>
      <c r="Y263" s="6"/>
      <c r="Z263" s="6">
        <f ca="1">('TUSD BE'!$AM$48+'TUSD BF'!$AM$48+'TUSD CVA'!$AM$48)*1</f>
        <v>485.29225363792813</v>
      </c>
      <c r="AA263" s="6">
        <f>('TE BE'!$AB$39+'TE BF'!$AB$39+'TE CVA'!$AB$39)*1</f>
        <v>269.20939423802389</v>
      </c>
      <c r="AB263" s="6">
        <f>$K$263*$V$263</f>
        <v>0</v>
      </c>
      <c r="AC263" s="6">
        <f>$M$263*$W$263</f>
        <v>7678.3046999999997</v>
      </c>
      <c r="AD263" s="6">
        <f>$O$263*$X$263</f>
        <v>3680.7759999999998</v>
      </c>
      <c r="AE263" s="6">
        <f>$K$263*$Y$263</f>
        <v>0</v>
      </c>
      <c r="AF263" s="6">
        <f ca="1">$M$263*$Z$263</f>
        <v>8060.7043329259859</v>
      </c>
      <c r="AG263" s="6">
        <f>$O$263*$AA$263</f>
        <v>4471.568038293577</v>
      </c>
    </row>
    <row r="264" spans="1:33" ht="11.25" customHeight="1" x14ac:dyDescent="0.3">
      <c r="A264" s="4" t="s">
        <v>21</v>
      </c>
      <c r="B264" s="4" t="s">
        <v>36</v>
      </c>
      <c r="C264" s="4" t="s">
        <v>23</v>
      </c>
      <c r="D264" s="4" t="s">
        <v>37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44774</v>
      </c>
      <c r="J264" s="6">
        <v>0</v>
      </c>
      <c r="K264" s="6">
        <v>0</v>
      </c>
      <c r="L264" s="6">
        <v>17.398</v>
      </c>
      <c r="M264" s="6">
        <v>17.398</v>
      </c>
      <c r="N264" s="6">
        <v>17.398</v>
      </c>
      <c r="O264" s="6">
        <v>17.398</v>
      </c>
      <c r="P264" s="6">
        <v>44</v>
      </c>
      <c r="Q264" s="4" t="s">
        <v>26</v>
      </c>
      <c r="R264" s="4">
        <v>0</v>
      </c>
      <c r="S264" s="6">
        <v>0</v>
      </c>
      <c r="T264" s="6">
        <v>61</v>
      </c>
      <c r="U264" s="6">
        <v>2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462.27</v>
      </c>
      <c r="X264" s="6">
        <f>IF(ISERROR(VLOOKUP($U$264,'TAR FIN'!$A$1:$O$85,15,0)),0,VLOOKUP($U$264,'TAR FIN'!$A$1:$O$85,15,0))</f>
        <v>221.6</v>
      </c>
      <c r="Y264" s="6"/>
      <c r="Z264" s="6">
        <f ca="1">('TUSD BE'!$AM$48+'TUSD BF'!$AM$48+'TUSD CVA'!$AM$48)*1</f>
        <v>485.29225363792813</v>
      </c>
      <c r="AA264" s="6">
        <f>('TE BE'!$AB$39+'TE BF'!$AB$39+'TE CVA'!$AB$39)*1</f>
        <v>269.20939423802389</v>
      </c>
      <c r="AB264" s="6">
        <f>$K$264*$V$264</f>
        <v>0</v>
      </c>
      <c r="AC264" s="6">
        <f>$M$264*$W$264</f>
        <v>8042.5734599999996</v>
      </c>
      <c r="AD264" s="6">
        <f>$O$264*$X$264</f>
        <v>3855.3968</v>
      </c>
      <c r="AE264" s="6">
        <f>$K$264*$Y$264</f>
        <v>0</v>
      </c>
      <c r="AF264" s="6">
        <f ca="1">$M$264*$Z$264</f>
        <v>8443.1146287926731</v>
      </c>
      <c r="AG264" s="6">
        <f>$O$264*$AA$264</f>
        <v>4683.7050409531394</v>
      </c>
    </row>
    <row r="265" spans="1:33" ht="11.25" customHeight="1" x14ac:dyDescent="0.3">
      <c r="A265" s="4" t="s">
        <v>21</v>
      </c>
      <c r="B265" s="4" t="s">
        <v>36</v>
      </c>
      <c r="C265" s="4" t="s">
        <v>23</v>
      </c>
      <c r="D265" s="4" t="s">
        <v>43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6.7140000000000004</v>
      </c>
      <c r="M265" s="6">
        <v>6.7140000000000004</v>
      </c>
      <c r="N265" s="6">
        <v>6.7140000000000004</v>
      </c>
      <c r="O265" s="6">
        <v>6.7140000000000004</v>
      </c>
      <c r="P265" s="6">
        <v>10</v>
      </c>
      <c r="Q265" s="4" t="s">
        <v>26</v>
      </c>
      <c r="R265" s="4">
        <v>0</v>
      </c>
      <c r="S265" s="6">
        <v>0</v>
      </c>
      <c r="T265" s="6">
        <v>61</v>
      </c>
      <c r="U265" s="6">
        <v>2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462.27</v>
      </c>
      <c r="X265" s="6">
        <f>IF(ISERROR(VLOOKUP($U$265,'TAR FIN'!$A$1:$O$85,15,0)),0,VLOOKUP($U$265,'TAR FIN'!$A$1:$O$85,15,0))</f>
        <v>221.6</v>
      </c>
      <c r="Y265" s="6"/>
      <c r="Z265" s="6">
        <f ca="1">('TUSD BE'!$AM$48+'TUSD BF'!$AM$48+'TUSD CVA'!$AM$48)*1</f>
        <v>485.29225363792813</v>
      </c>
      <c r="AA265" s="6">
        <f>('TE BE'!$AB$39+'TE BF'!$AB$39+'TE CVA'!$AB$39)*1</f>
        <v>269.20939423802389</v>
      </c>
      <c r="AB265" s="6">
        <f>$K$265*$V$265</f>
        <v>0</v>
      </c>
      <c r="AC265" s="6">
        <f>$M$265*$W$265</f>
        <v>3103.6807800000001</v>
      </c>
      <c r="AD265" s="6">
        <f>$O$265*$X$265</f>
        <v>1487.8224</v>
      </c>
      <c r="AE265" s="6">
        <f>$K$265*$Y$265</f>
        <v>0</v>
      </c>
      <c r="AF265" s="6">
        <f ca="1">$M$265*$Z$265</f>
        <v>3258.2521909250495</v>
      </c>
      <c r="AG265" s="6">
        <f>$O$265*$AA$265</f>
        <v>1807.4718729140925</v>
      </c>
    </row>
    <row r="266" spans="1:33" ht="11.25" customHeight="1" x14ac:dyDescent="0.3">
      <c r="A266" s="4" t="s">
        <v>21</v>
      </c>
      <c r="B266" s="4" t="s">
        <v>36</v>
      </c>
      <c r="C266" s="4" t="s">
        <v>23</v>
      </c>
      <c r="D266" s="4" t="s">
        <v>43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44470</v>
      </c>
      <c r="J266" s="6">
        <v>0</v>
      </c>
      <c r="K266" s="6">
        <v>0</v>
      </c>
      <c r="L266" s="6">
        <v>6.1349999999999998</v>
      </c>
      <c r="M266" s="6">
        <v>6.1349999999999998</v>
      </c>
      <c r="N266" s="6">
        <v>6.1349999999999998</v>
      </c>
      <c r="O266" s="6">
        <v>6.1349999999999998</v>
      </c>
      <c r="P266" s="6">
        <v>10</v>
      </c>
      <c r="Q266" s="4" t="s">
        <v>26</v>
      </c>
      <c r="R266" s="4">
        <v>0</v>
      </c>
      <c r="S266" s="6">
        <v>0</v>
      </c>
      <c r="T266" s="6">
        <v>61</v>
      </c>
      <c r="U266" s="6">
        <v>2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462.27</v>
      </c>
      <c r="X266" s="6">
        <f>IF(ISERROR(VLOOKUP($U$266,'TAR FIN'!$A$1:$O$85,15,0)),0,VLOOKUP($U$266,'TAR FIN'!$A$1:$O$85,15,0))</f>
        <v>221.6</v>
      </c>
      <c r="Y266" s="6"/>
      <c r="Z266" s="6">
        <f ca="1">('TUSD BE'!$AM$48+'TUSD BF'!$AM$48+'TUSD CVA'!$AM$48)*1</f>
        <v>485.29225363792813</v>
      </c>
      <c r="AA266" s="6">
        <f>('TE BE'!$AB$39+'TE BF'!$AB$39+'TE CVA'!$AB$39)*1</f>
        <v>269.20939423802389</v>
      </c>
      <c r="AB266" s="6">
        <f>$K$266*$V$266</f>
        <v>0</v>
      </c>
      <c r="AC266" s="6">
        <f>$M$266*$W$266</f>
        <v>2836.0264499999998</v>
      </c>
      <c r="AD266" s="6">
        <f>$O$266*$X$266</f>
        <v>1359.5159999999998</v>
      </c>
      <c r="AE266" s="6">
        <f>$K$266*$Y$266</f>
        <v>0</v>
      </c>
      <c r="AF266" s="6">
        <f ca="1">$M$266*$Z$266</f>
        <v>2977.2679760686888</v>
      </c>
      <c r="AG266" s="6">
        <f>$O$266*$AA$266</f>
        <v>1651.5996336502765</v>
      </c>
    </row>
    <row r="267" spans="1:33" ht="11.25" customHeight="1" x14ac:dyDescent="0.3">
      <c r="A267" s="4" t="s">
        <v>21</v>
      </c>
      <c r="B267" s="4" t="s">
        <v>36</v>
      </c>
      <c r="C267" s="4" t="s">
        <v>23</v>
      </c>
      <c r="D267" s="4" t="s">
        <v>43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44501</v>
      </c>
      <c r="J267" s="6">
        <v>0</v>
      </c>
      <c r="K267" s="6">
        <v>0</v>
      </c>
      <c r="L267" s="6">
        <v>5.7809999999999997</v>
      </c>
      <c r="M267" s="6">
        <v>5.7809999999999997</v>
      </c>
      <c r="N267" s="6">
        <v>5.7809999999999997</v>
      </c>
      <c r="O267" s="6">
        <v>5.7809999999999997</v>
      </c>
      <c r="P267" s="6">
        <v>10</v>
      </c>
      <c r="Q267" s="4" t="s">
        <v>26</v>
      </c>
      <c r="R267" s="4">
        <v>0</v>
      </c>
      <c r="S267" s="6">
        <v>0</v>
      </c>
      <c r="T267" s="6">
        <v>61</v>
      </c>
      <c r="U267" s="6">
        <v>2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462.27</v>
      </c>
      <c r="X267" s="6">
        <f>IF(ISERROR(VLOOKUP($U$267,'TAR FIN'!$A$1:$O$85,15,0)),0,VLOOKUP($U$267,'TAR FIN'!$A$1:$O$85,15,0))</f>
        <v>221.6</v>
      </c>
      <c r="Y267" s="6"/>
      <c r="Z267" s="6">
        <f ca="1">('TUSD BE'!$AM$48+'TUSD BF'!$AM$48+'TUSD CVA'!$AM$48)*1</f>
        <v>485.29225363792813</v>
      </c>
      <c r="AA267" s="6">
        <f>('TE BE'!$AB$39+'TE BF'!$AB$39+'TE CVA'!$AB$39)*1</f>
        <v>269.20939423802389</v>
      </c>
      <c r="AB267" s="6">
        <f>$K$267*$V$267</f>
        <v>0</v>
      </c>
      <c r="AC267" s="6">
        <f>$M$267*$W$267</f>
        <v>2672.3828699999999</v>
      </c>
      <c r="AD267" s="6">
        <f>$O$267*$X$267</f>
        <v>1281.0695999999998</v>
      </c>
      <c r="AE267" s="6">
        <f>$K$267*$Y$267</f>
        <v>0</v>
      </c>
      <c r="AF267" s="6">
        <f ca="1">$M$267*$Z$267</f>
        <v>2805.4745182808624</v>
      </c>
      <c r="AG267" s="6">
        <f>$O$267*$AA$267</f>
        <v>1556.2995080900159</v>
      </c>
    </row>
    <row r="268" spans="1:33" ht="11.25" customHeight="1" x14ac:dyDescent="0.3">
      <c r="A268" s="4" t="s">
        <v>21</v>
      </c>
      <c r="B268" s="4" t="s">
        <v>36</v>
      </c>
      <c r="C268" s="4" t="s">
        <v>23</v>
      </c>
      <c r="D268" s="4" t="s">
        <v>43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44531</v>
      </c>
      <c r="J268" s="6">
        <v>0</v>
      </c>
      <c r="K268" s="6">
        <v>0</v>
      </c>
      <c r="L268" s="6">
        <v>6.4459999999999997</v>
      </c>
      <c r="M268" s="6">
        <v>6.4459999999999997</v>
      </c>
      <c r="N268" s="6">
        <v>6.4459999999999997</v>
      </c>
      <c r="O268" s="6">
        <v>6.4459999999999997</v>
      </c>
      <c r="P268" s="6">
        <v>10</v>
      </c>
      <c r="Q268" s="4" t="s">
        <v>26</v>
      </c>
      <c r="R268" s="4">
        <v>0</v>
      </c>
      <c r="S268" s="6">
        <v>0</v>
      </c>
      <c r="T268" s="6">
        <v>61</v>
      </c>
      <c r="U268" s="6">
        <v>2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462.27</v>
      </c>
      <c r="X268" s="6">
        <f>IF(ISERROR(VLOOKUP($U$268,'TAR FIN'!$A$1:$O$85,15,0)),0,VLOOKUP($U$268,'TAR FIN'!$A$1:$O$85,15,0))</f>
        <v>221.6</v>
      </c>
      <c r="Y268" s="6"/>
      <c r="Z268" s="6">
        <f ca="1">('TUSD BE'!$AM$48+'TUSD BF'!$AM$48+'TUSD CVA'!$AM$48)*1</f>
        <v>485.29225363792813</v>
      </c>
      <c r="AA268" s="6">
        <f>('TE BE'!$AB$39+'TE BF'!$AB$39+'TE CVA'!$AB$39)*1</f>
        <v>269.20939423802389</v>
      </c>
      <c r="AB268" s="6">
        <f>$K$268*$V$268</f>
        <v>0</v>
      </c>
      <c r="AC268" s="6">
        <f>$M$268*$W$268</f>
        <v>2979.7924199999998</v>
      </c>
      <c r="AD268" s="6">
        <f>$O$268*$X$268</f>
        <v>1428.4335999999998</v>
      </c>
      <c r="AE268" s="6">
        <f>$K$268*$Y$268</f>
        <v>0</v>
      </c>
      <c r="AF268" s="6">
        <f ca="1">$M$268*$Z$268</f>
        <v>3128.1938669500846</v>
      </c>
      <c r="AG268" s="6">
        <f>$O$268*$AA$268</f>
        <v>1735.3237552583018</v>
      </c>
    </row>
    <row r="269" spans="1:33" ht="11.25" customHeight="1" x14ac:dyDescent="0.3">
      <c r="A269" s="4" t="s">
        <v>21</v>
      </c>
      <c r="B269" s="4" t="s">
        <v>36</v>
      </c>
      <c r="C269" s="4" t="s">
        <v>23</v>
      </c>
      <c r="D269" s="4" t="s">
        <v>43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44562</v>
      </c>
      <c r="J269" s="6">
        <v>0</v>
      </c>
      <c r="K269" s="6">
        <v>0</v>
      </c>
      <c r="L269" s="6">
        <v>6.3730000000000002</v>
      </c>
      <c r="M269" s="6">
        <v>6.3730000000000002</v>
      </c>
      <c r="N269" s="6">
        <v>6.3730000000000002</v>
      </c>
      <c r="O269" s="6">
        <v>6.3730000000000002</v>
      </c>
      <c r="P269" s="6">
        <v>10</v>
      </c>
      <c r="Q269" s="4" t="s">
        <v>26</v>
      </c>
      <c r="R269" s="4">
        <v>0</v>
      </c>
      <c r="S269" s="6">
        <v>0</v>
      </c>
      <c r="T269" s="6">
        <v>61</v>
      </c>
      <c r="U269" s="6">
        <v>2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462.27</v>
      </c>
      <c r="X269" s="6">
        <f>IF(ISERROR(VLOOKUP($U$269,'TAR FIN'!$A$1:$O$85,15,0)),0,VLOOKUP($U$269,'TAR FIN'!$A$1:$O$85,15,0))</f>
        <v>221.6</v>
      </c>
      <c r="Y269" s="6"/>
      <c r="Z269" s="6">
        <f ca="1">('TUSD BE'!$AM$48+'TUSD BF'!$AM$48+'TUSD CVA'!$AM$48)*1</f>
        <v>485.29225363792813</v>
      </c>
      <c r="AA269" s="6">
        <f>('TE BE'!$AB$39+'TE BF'!$AB$39+'TE CVA'!$AB$39)*1</f>
        <v>269.20939423802389</v>
      </c>
      <c r="AB269" s="6">
        <f>$K$269*$V$269</f>
        <v>0</v>
      </c>
      <c r="AC269" s="6">
        <f>$M$269*$W$269</f>
        <v>2946.0467100000001</v>
      </c>
      <c r="AD269" s="6">
        <f>$O$269*$X$269</f>
        <v>1412.2568000000001</v>
      </c>
      <c r="AE269" s="6">
        <f>$K$269*$Y$269</f>
        <v>0</v>
      </c>
      <c r="AF269" s="6">
        <f ca="1">$M$269*$Z$269</f>
        <v>3092.7675324345159</v>
      </c>
      <c r="AG269" s="6">
        <f>$O$269*$AA$269</f>
        <v>1715.6714694789264</v>
      </c>
    </row>
    <row r="270" spans="1:33" ht="11.25" customHeight="1" x14ac:dyDescent="0.3">
      <c r="A270" s="4" t="s">
        <v>21</v>
      </c>
      <c r="B270" s="4" t="s">
        <v>36</v>
      </c>
      <c r="C270" s="4" t="s">
        <v>23</v>
      </c>
      <c r="D270" s="4" t="s">
        <v>43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44593</v>
      </c>
      <c r="J270" s="6">
        <v>0</v>
      </c>
      <c r="K270" s="6">
        <v>0</v>
      </c>
      <c r="L270" s="6">
        <v>6.9450000000000003</v>
      </c>
      <c r="M270" s="6">
        <v>6.9450000000000003</v>
      </c>
      <c r="N270" s="6">
        <v>6.9450000000000003</v>
      </c>
      <c r="O270" s="6">
        <v>6.9450000000000003</v>
      </c>
      <c r="P270" s="6">
        <v>10</v>
      </c>
      <c r="Q270" s="4" t="s">
        <v>26</v>
      </c>
      <c r="R270" s="4">
        <v>0</v>
      </c>
      <c r="S270" s="6">
        <v>0</v>
      </c>
      <c r="T270" s="6">
        <v>61</v>
      </c>
      <c r="U270" s="6">
        <v>2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462.27</v>
      </c>
      <c r="X270" s="6">
        <f>IF(ISERROR(VLOOKUP($U$270,'TAR FIN'!$A$1:$O$85,15,0)),0,VLOOKUP($U$270,'TAR FIN'!$A$1:$O$85,15,0))</f>
        <v>221.6</v>
      </c>
      <c r="Y270" s="6"/>
      <c r="Z270" s="6">
        <f ca="1">('TUSD BE'!$AM$48+'TUSD BF'!$AM$48+'TUSD CVA'!$AM$48)*1</f>
        <v>485.29225363792813</v>
      </c>
      <c r="AA270" s="6">
        <f>('TE BE'!$AB$39+'TE BF'!$AB$39+'TE CVA'!$AB$39)*1</f>
        <v>269.20939423802389</v>
      </c>
      <c r="AB270" s="6">
        <f>$K$270*$V$270</f>
        <v>0</v>
      </c>
      <c r="AC270" s="6">
        <f>$M$270*$W$270</f>
        <v>3210.46515</v>
      </c>
      <c r="AD270" s="6">
        <f>$O$270*$X$270</f>
        <v>1539.0119999999999</v>
      </c>
      <c r="AE270" s="6">
        <f>$K$270*$Y$270</f>
        <v>0</v>
      </c>
      <c r="AF270" s="6">
        <f ca="1">$M$270*$Z$270</f>
        <v>3370.3547015154109</v>
      </c>
      <c r="AG270" s="6">
        <f>$O$270*$AA$270</f>
        <v>1869.659242983076</v>
      </c>
    </row>
    <row r="271" spans="1:33" ht="11.25" customHeight="1" x14ac:dyDescent="0.3">
      <c r="A271" s="4" t="s">
        <v>21</v>
      </c>
      <c r="B271" s="4" t="s">
        <v>36</v>
      </c>
      <c r="C271" s="4" t="s">
        <v>23</v>
      </c>
      <c r="D271" s="4" t="s">
        <v>43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44621</v>
      </c>
      <c r="J271" s="6">
        <v>0</v>
      </c>
      <c r="K271" s="6">
        <v>0</v>
      </c>
      <c r="L271" s="6">
        <v>7.6479999999999997</v>
      </c>
      <c r="M271" s="6">
        <v>7.6479999999999997</v>
      </c>
      <c r="N271" s="6">
        <v>7.6479999999999997</v>
      </c>
      <c r="O271" s="6">
        <v>7.6479999999999997</v>
      </c>
      <c r="P271" s="6">
        <v>10</v>
      </c>
      <c r="Q271" s="4" t="s">
        <v>26</v>
      </c>
      <c r="R271" s="4">
        <v>0</v>
      </c>
      <c r="S271" s="6">
        <v>0</v>
      </c>
      <c r="T271" s="6">
        <v>61</v>
      </c>
      <c r="U271" s="6">
        <v>2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462.27</v>
      </c>
      <c r="X271" s="6">
        <f>IF(ISERROR(VLOOKUP($U$271,'TAR FIN'!$A$1:$O$85,15,0)),0,VLOOKUP($U$271,'TAR FIN'!$A$1:$O$85,15,0))</f>
        <v>221.6</v>
      </c>
      <c r="Y271" s="6"/>
      <c r="Z271" s="6">
        <f ca="1">('TUSD BE'!$AM$48+'TUSD BF'!$AM$48+'TUSD CVA'!$AM$48)*1</f>
        <v>485.29225363792813</v>
      </c>
      <c r="AA271" s="6">
        <f>('TE BE'!$AB$39+'TE BF'!$AB$39+'TE CVA'!$AB$39)*1</f>
        <v>269.20939423802389</v>
      </c>
      <c r="AB271" s="6">
        <f>$K$271*$V$271</f>
        <v>0</v>
      </c>
      <c r="AC271" s="6">
        <f>$M$271*$W$271</f>
        <v>3535.4409599999999</v>
      </c>
      <c r="AD271" s="6">
        <f>$O$271*$X$271</f>
        <v>1694.7967999999998</v>
      </c>
      <c r="AE271" s="6">
        <f>$K$271*$Y$271</f>
        <v>0</v>
      </c>
      <c r="AF271" s="6">
        <f ca="1">$M$271*$Z$271</f>
        <v>3711.515155822874</v>
      </c>
      <c r="AG271" s="6">
        <f>$O$271*$AA$271</f>
        <v>2058.9134471324064</v>
      </c>
    </row>
    <row r="272" spans="1:33" ht="11.25" customHeight="1" x14ac:dyDescent="0.3">
      <c r="A272" s="4" t="s">
        <v>21</v>
      </c>
      <c r="B272" s="4" t="s">
        <v>36</v>
      </c>
      <c r="C272" s="4" t="s">
        <v>23</v>
      </c>
      <c r="D272" s="4" t="s">
        <v>43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44652</v>
      </c>
      <c r="J272" s="6">
        <v>0</v>
      </c>
      <c r="K272" s="6">
        <v>0</v>
      </c>
      <c r="L272" s="6">
        <v>6.5309999999999997</v>
      </c>
      <c r="M272" s="6">
        <v>6.5309999999999997</v>
      </c>
      <c r="N272" s="6">
        <v>6.5309999999999997</v>
      </c>
      <c r="O272" s="6">
        <v>6.5309999999999997</v>
      </c>
      <c r="P272" s="6">
        <v>10</v>
      </c>
      <c r="Q272" s="4" t="s">
        <v>26</v>
      </c>
      <c r="R272" s="4">
        <v>0</v>
      </c>
      <c r="S272" s="6">
        <v>0</v>
      </c>
      <c r="T272" s="6">
        <v>61</v>
      </c>
      <c r="U272" s="6">
        <v>2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462.27</v>
      </c>
      <c r="X272" s="6">
        <f>IF(ISERROR(VLOOKUP($U$272,'TAR FIN'!$A$1:$O$85,15,0)),0,VLOOKUP($U$272,'TAR FIN'!$A$1:$O$85,15,0))</f>
        <v>221.6</v>
      </c>
      <c r="Y272" s="6"/>
      <c r="Z272" s="6">
        <f ca="1">('TUSD BE'!$AM$48+'TUSD BF'!$AM$48+'TUSD CVA'!$AM$48)*1</f>
        <v>485.29225363792813</v>
      </c>
      <c r="AA272" s="6">
        <f>('TE BE'!$AB$39+'TE BF'!$AB$39+'TE CVA'!$AB$39)*1</f>
        <v>269.20939423802389</v>
      </c>
      <c r="AB272" s="6">
        <f>$K$272*$V$272</f>
        <v>0</v>
      </c>
      <c r="AC272" s="6">
        <f>$M$272*$W$272</f>
        <v>3019.0853699999998</v>
      </c>
      <c r="AD272" s="6">
        <f>$O$272*$X$272</f>
        <v>1447.2695999999999</v>
      </c>
      <c r="AE272" s="6">
        <f>$K$272*$Y$272</f>
        <v>0</v>
      </c>
      <c r="AF272" s="6">
        <f ca="1">$M$272*$Z$272</f>
        <v>3169.4437085093086</v>
      </c>
      <c r="AG272" s="6">
        <f>$O$272*$AA$272</f>
        <v>1758.2065537685339</v>
      </c>
    </row>
    <row r="273" spans="1:33" ht="11.25" customHeight="1" x14ac:dyDescent="0.3">
      <c r="A273" s="4" t="s">
        <v>21</v>
      </c>
      <c r="B273" s="4" t="s">
        <v>36</v>
      </c>
      <c r="C273" s="4" t="s">
        <v>23</v>
      </c>
      <c r="D273" s="4" t="s">
        <v>43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44682</v>
      </c>
      <c r="J273" s="6">
        <v>0</v>
      </c>
      <c r="K273" s="6">
        <v>0</v>
      </c>
      <c r="L273" s="6">
        <v>7.01</v>
      </c>
      <c r="M273" s="6">
        <v>7.01</v>
      </c>
      <c r="N273" s="6">
        <v>7.01</v>
      </c>
      <c r="O273" s="6">
        <v>7.01</v>
      </c>
      <c r="P273" s="6">
        <v>10</v>
      </c>
      <c r="Q273" s="4" t="s">
        <v>26</v>
      </c>
      <c r="R273" s="4">
        <v>0</v>
      </c>
      <c r="S273" s="6">
        <v>0</v>
      </c>
      <c r="T273" s="6">
        <v>61</v>
      </c>
      <c r="U273" s="6">
        <v>2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462.27</v>
      </c>
      <c r="X273" s="6">
        <f>IF(ISERROR(VLOOKUP($U$273,'TAR FIN'!$A$1:$O$85,15,0)),0,VLOOKUP($U$273,'TAR FIN'!$A$1:$O$85,15,0))</f>
        <v>221.6</v>
      </c>
      <c r="Y273" s="6"/>
      <c r="Z273" s="6">
        <f ca="1">('TUSD BE'!$AM$48+'TUSD BF'!$AM$48+'TUSD CVA'!$AM$48)*1</f>
        <v>485.29225363792813</v>
      </c>
      <c r="AA273" s="6">
        <f>('TE BE'!$AB$39+'TE BF'!$AB$39+'TE CVA'!$AB$39)*1</f>
        <v>269.20939423802389</v>
      </c>
      <c r="AB273" s="6">
        <f>$K$273*$V$273</f>
        <v>0</v>
      </c>
      <c r="AC273" s="6">
        <f>$M$273*$W$273</f>
        <v>3240.5126999999998</v>
      </c>
      <c r="AD273" s="6">
        <f>$O$273*$X$273</f>
        <v>1553.4159999999999</v>
      </c>
      <c r="AE273" s="6">
        <f>$K$273*$Y$273</f>
        <v>0</v>
      </c>
      <c r="AF273" s="6">
        <f ca="1">$M$273*$Z$273</f>
        <v>3401.8986980018763</v>
      </c>
      <c r="AG273" s="6">
        <f>$O$273*$AA$273</f>
        <v>1887.1578536085474</v>
      </c>
    </row>
    <row r="274" spans="1:33" ht="11.25" customHeight="1" x14ac:dyDescent="0.3">
      <c r="A274" s="4" t="s">
        <v>21</v>
      </c>
      <c r="B274" s="4" t="s">
        <v>36</v>
      </c>
      <c r="C274" s="4" t="s">
        <v>23</v>
      </c>
      <c r="D274" s="4" t="s">
        <v>43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44713</v>
      </c>
      <c r="J274" s="6">
        <v>0</v>
      </c>
      <c r="K274" s="6">
        <v>0</v>
      </c>
      <c r="L274" s="6">
        <v>5.4660000000000002</v>
      </c>
      <c r="M274" s="6">
        <v>5.4660000000000002</v>
      </c>
      <c r="N274" s="6">
        <v>5.4660000000000002</v>
      </c>
      <c r="O274" s="6">
        <v>5.4660000000000002</v>
      </c>
      <c r="P274" s="6">
        <v>10</v>
      </c>
      <c r="Q274" s="4" t="s">
        <v>26</v>
      </c>
      <c r="R274" s="4">
        <v>0</v>
      </c>
      <c r="S274" s="6">
        <v>0</v>
      </c>
      <c r="T274" s="6">
        <v>61</v>
      </c>
      <c r="U274" s="6">
        <v>2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462.27</v>
      </c>
      <c r="X274" s="6">
        <f>IF(ISERROR(VLOOKUP($U$274,'TAR FIN'!$A$1:$O$85,15,0)),0,VLOOKUP($U$274,'TAR FIN'!$A$1:$O$85,15,0))</f>
        <v>221.6</v>
      </c>
      <c r="Y274" s="6"/>
      <c r="Z274" s="6">
        <f ca="1">('TUSD BE'!$AM$48+'TUSD BF'!$AM$48+'TUSD CVA'!$AM$48)*1</f>
        <v>485.29225363792813</v>
      </c>
      <c r="AA274" s="6">
        <f>('TE BE'!$AB$39+'TE BF'!$AB$39+'TE CVA'!$AB$39)*1</f>
        <v>269.20939423802389</v>
      </c>
      <c r="AB274" s="6">
        <f>$K$274*$V$274</f>
        <v>0</v>
      </c>
      <c r="AC274" s="6">
        <f>$M$274*$W$274</f>
        <v>2526.76782</v>
      </c>
      <c r="AD274" s="6">
        <f>$O$274*$X$274</f>
        <v>1211.2655999999999</v>
      </c>
      <c r="AE274" s="6">
        <f>$K$274*$Y$274</f>
        <v>0</v>
      </c>
      <c r="AF274" s="6">
        <f ca="1">$M$274*$Z$274</f>
        <v>2652.6074583849154</v>
      </c>
      <c r="AG274" s="6">
        <f>$O$274*$AA$274</f>
        <v>1471.4985489050387</v>
      </c>
    </row>
    <row r="275" spans="1:33" ht="11.25" customHeight="1" x14ac:dyDescent="0.3">
      <c r="A275" s="4" t="s">
        <v>21</v>
      </c>
      <c r="B275" s="4" t="s">
        <v>36</v>
      </c>
      <c r="C275" s="4" t="s">
        <v>23</v>
      </c>
      <c r="D275" s="4" t="s">
        <v>43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44743</v>
      </c>
      <c r="J275" s="6">
        <v>0</v>
      </c>
      <c r="K275" s="6">
        <v>0</v>
      </c>
      <c r="L275" s="6">
        <v>5.9020000000000001</v>
      </c>
      <c r="M275" s="6">
        <v>5.9020000000000001</v>
      </c>
      <c r="N275" s="6">
        <v>5.9020000000000001</v>
      </c>
      <c r="O275" s="6">
        <v>5.9020000000000001</v>
      </c>
      <c r="P275" s="6">
        <v>10</v>
      </c>
      <c r="Q275" s="4" t="s">
        <v>26</v>
      </c>
      <c r="R275" s="4">
        <v>0</v>
      </c>
      <c r="S275" s="6">
        <v>0</v>
      </c>
      <c r="T275" s="6">
        <v>61</v>
      </c>
      <c r="U275" s="6">
        <v>2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462.27</v>
      </c>
      <c r="X275" s="6">
        <f>IF(ISERROR(VLOOKUP($U$275,'TAR FIN'!$A$1:$O$85,15,0)),0,VLOOKUP($U$275,'TAR FIN'!$A$1:$O$85,15,0))</f>
        <v>221.6</v>
      </c>
      <c r="Y275" s="6"/>
      <c r="Z275" s="6">
        <f ca="1">('TUSD BE'!$AM$48+'TUSD BF'!$AM$48+'TUSD CVA'!$AM$48)*1</f>
        <v>485.29225363792813</v>
      </c>
      <c r="AA275" s="6">
        <f>('TE BE'!$AB$39+'TE BF'!$AB$39+'TE CVA'!$AB$39)*1</f>
        <v>269.20939423802389</v>
      </c>
      <c r="AB275" s="6">
        <f>$K$275*$V$275</f>
        <v>0</v>
      </c>
      <c r="AC275" s="6">
        <f>$M$275*$W$275</f>
        <v>2728.31754</v>
      </c>
      <c r="AD275" s="6">
        <f>$O$275*$X$275</f>
        <v>1307.8832</v>
      </c>
      <c r="AE275" s="6">
        <f>$K$275*$Y$275</f>
        <v>0</v>
      </c>
      <c r="AF275" s="6">
        <f ca="1">$M$275*$Z$275</f>
        <v>2864.194880971052</v>
      </c>
      <c r="AG275" s="6">
        <f>$O$275*$AA$275</f>
        <v>1588.873844792817</v>
      </c>
    </row>
    <row r="276" spans="1:33" ht="11.25" customHeight="1" x14ac:dyDescent="0.3">
      <c r="A276" s="4" t="s">
        <v>21</v>
      </c>
      <c r="B276" s="4" t="s">
        <v>36</v>
      </c>
      <c r="C276" s="4" t="s">
        <v>23</v>
      </c>
      <c r="D276" s="4" t="s">
        <v>43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44774</v>
      </c>
      <c r="J276" s="6">
        <v>0</v>
      </c>
      <c r="K276" s="6">
        <v>0</v>
      </c>
      <c r="L276" s="6">
        <v>5.8460000000000001</v>
      </c>
      <c r="M276" s="6">
        <v>5.8460000000000001</v>
      </c>
      <c r="N276" s="6">
        <v>5.8460000000000001</v>
      </c>
      <c r="O276" s="6">
        <v>5.8460000000000001</v>
      </c>
      <c r="P276" s="6">
        <v>10</v>
      </c>
      <c r="Q276" s="4" t="s">
        <v>26</v>
      </c>
      <c r="R276" s="4">
        <v>0</v>
      </c>
      <c r="S276" s="6">
        <v>0</v>
      </c>
      <c r="T276" s="6">
        <v>61</v>
      </c>
      <c r="U276" s="6">
        <v>2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462.27</v>
      </c>
      <c r="X276" s="6">
        <f>IF(ISERROR(VLOOKUP($U$276,'TAR FIN'!$A$1:$O$85,15,0)),0,VLOOKUP($U$276,'TAR FIN'!$A$1:$O$85,15,0))</f>
        <v>221.6</v>
      </c>
      <c r="Y276" s="6"/>
      <c r="Z276" s="6">
        <f ca="1">('TUSD BE'!$AM$48+'TUSD BF'!$AM$48+'TUSD CVA'!$AM$48)*1</f>
        <v>485.29225363792813</v>
      </c>
      <c r="AA276" s="6">
        <f>('TE BE'!$AB$39+'TE BF'!$AB$39+'TE CVA'!$AB$39)*1</f>
        <v>269.20939423802389</v>
      </c>
      <c r="AB276" s="6">
        <f>$K$276*$V$276</f>
        <v>0</v>
      </c>
      <c r="AC276" s="6">
        <f>$M$276*$W$276</f>
        <v>2702.4304200000001</v>
      </c>
      <c r="AD276" s="6">
        <f>$O$276*$X$276</f>
        <v>1295.4736</v>
      </c>
      <c r="AE276" s="6">
        <f>$K$276*$Y$276</f>
        <v>0</v>
      </c>
      <c r="AF276" s="6">
        <f ca="1">$M$276*$Z$276</f>
        <v>2837.0185147673278</v>
      </c>
      <c r="AG276" s="6">
        <f>$O$276*$AA$276</f>
        <v>1573.7981187154876</v>
      </c>
    </row>
    <row r="277" spans="1:33" ht="11.25" customHeight="1" x14ac:dyDescent="0.3">
      <c r="A277" s="4" t="s">
        <v>21</v>
      </c>
      <c r="B277" s="4" t="s">
        <v>36</v>
      </c>
      <c r="C277" s="4" t="s">
        <v>23</v>
      </c>
      <c r="D277" s="4" t="s">
        <v>47</v>
      </c>
      <c r="E277" s="4" t="s">
        <v>48</v>
      </c>
      <c r="F277" s="4" t="s">
        <v>25</v>
      </c>
      <c r="G277" s="4" t="s">
        <v>25</v>
      </c>
      <c r="H277" s="4" t="s">
        <v>25</v>
      </c>
      <c r="I277" s="5">
        <v>44440</v>
      </c>
      <c r="J277" s="6">
        <v>0</v>
      </c>
      <c r="K277" s="52">
        <v>0</v>
      </c>
      <c r="L277" s="6">
        <v>25.248000000000001</v>
      </c>
      <c r="M277" s="52">
        <v>25.248000000000001</v>
      </c>
      <c r="N277" s="6">
        <v>25.248000000000001</v>
      </c>
      <c r="O277" s="52">
        <v>25.248000000000001</v>
      </c>
      <c r="P277" s="6">
        <v>6</v>
      </c>
      <c r="Q277" s="4" t="s">
        <v>26</v>
      </c>
      <c r="R277" s="4">
        <v>0</v>
      </c>
      <c r="S277" s="6">
        <v>0</v>
      </c>
      <c r="T277" s="6">
        <v>61</v>
      </c>
      <c r="U277" s="6">
        <v>2</v>
      </c>
      <c r="V277" s="52">
        <f>IF(ISERROR(VLOOKUP($S$277,'TAR FIN'!$A$1:$O$85,15,0)),0,VLOOKUP($S$277,'TAR FIN'!$A$1:$O$85,15,0))</f>
        <v>0</v>
      </c>
      <c r="W277" s="52">
        <f>IF(ISERROR(VLOOKUP($T$277,'TAR FIN'!$A$1:$O$85,15,0)),0,VLOOKUP($T$277,'TAR FIN'!$A$1:$O$85,15,0))*(1-0.06)</f>
        <v>434.53379999999999</v>
      </c>
      <c r="X277" s="52">
        <f>IF(ISERROR(VLOOKUP($U$277,'TAR FIN'!$A$1:$O$85,15,0)),0,VLOOKUP($U$277,'TAR FIN'!$A$1:$O$85,15,0))*(1-0.06)</f>
        <v>208.30399999999997</v>
      </c>
      <c r="Y277" s="52"/>
      <c r="Z277" s="52">
        <f ca="1">('TUSD BE'!$AM$48+'TUSD BF'!$AM$48+'TUSD CVA'!$AM$48)*1*(1-0.03)</f>
        <v>470.73348602879025</v>
      </c>
      <c r="AA277" s="52">
        <f>('TE BE'!$AB$39+'TE BF'!$AB$39+'TE CVA'!$AB$39)*1*(1-0.03)</f>
        <v>261.13311241088314</v>
      </c>
      <c r="AB277" s="6">
        <f>$K$277*$V$277</f>
        <v>0</v>
      </c>
      <c r="AC277" s="6">
        <f>$M$277*$W$277</f>
        <v>10971.1093824</v>
      </c>
      <c r="AD277" s="6">
        <f>$O$277*$X$277</f>
        <v>5259.2593919999999</v>
      </c>
      <c r="AE277" s="6">
        <f>$K$277*$Y$277</f>
        <v>0</v>
      </c>
      <c r="AF277" s="6">
        <f ca="1">$M$277*$Z$277</f>
        <v>11885.079055254897</v>
      </c>
      <c r="AG277" s="6">
        <f>$O$277*$AA$277</f>
        <v>6593.0888221499781</v>
      </c>
    </row>
    <row r="278" spans="1:33" ht="11.25" customHeight="1" x14ac:dyDescent="0.3">
      <c r="A278" s="4" t="s">
        <v>21</v>
      </c>
      <c r="B278" s="4" t="s">
        <v>36</v>
      </c>
      <c r="C278" s="4" t="s">
        <v>23</v>
      </c>
      <c r="D278" s="4" t="s">
        <v>47</v>
      </c>
      <c r="E278" s="4" t="s">
        <v>48</v>
      </c>
      <c r="F278" s="4" t="s">
        <v>25</v>
      </c>
      <c r="G278" s="4" t="s">
        <v>25</v>
      </c>
      <c r="H278" s="4" t="s">
        <v>25</v>
      </c>
      <c r="I278" s="5">
        <v>44470</v>
      </c>
      <c r="J278" s="6">
        <v>0</v>
      </c>
      <c r="K278" s="52">
        <v>0</v>
      </c>
      <c r="L278" s="6">
        <v>28.202000000000002</v>
      </c>
      <c r="M278" s="52">
        <v>28.202000000000002</v>
      </c>
      <c r="N278" s="6">
        <v>28.202000000000002</v>
      </c>
      <c r="O278" s="52">
        <v>28.202000000000002</v>
      </c>
      <c r="P278" s="6">
        <v>6</v>
      </c>
      <c r="Q278" s="4" t="s">
        <v>26</v>
      </c>
      <c r="R278" s="4">
        <v>0</v>
      </c>
      <c r="S278" s="6">
        <v>0</v>
      </c>
      <c r="T278" s="6">
        <v>61</v>
      </c>
      <c r="U278" s="6">
        <v>2</v>
      </c>
      <c r="V278" s="52">
        <f>IF(ISERROR(VLOOKUP($S$278,'TAR FIN'!$A$1:$O$85,15,0)),0,VLOOKUP($S$278,'TAR FIN'!$A$1:$O$85,15,0))</f>
        <v>0</v>
      </c>
      <c r="W278" s="52">
        <f>IF(ISERROR(VLOOKUP($T$278,'TAR FIN'!$A$1:$O$85,15,0)),0,VLOOKUP($T$278,'TAR FIN'!$A$1:$O$85,15,0))*(1-0.06)</f>
        <v>434.53379999999999</v>
      </c>
      <c r="X278" s="52">
        <f>IF(ISERROR(VLOOKUP($U$278,'TAR FIN'!$A$1:$O$85,15,0)),0,VLOOKUP($U$278,'TAR FIN'!$A$1:$O$85,15,0))*(1-0.06)</f>
        <v>208.30399999999997</v>
      </c>
      <c r="Y278" s="52"/>
      <c r="Z278" s="52">
        <f ca="1">('TUSD BE'!$AM$48+'TUSD BF'!$AM$48+'TUSD CVA'!$AM$48)*1*(1-0.03)</f>
        <v>470.73348602879025</v>
      </c>
      <c r="AA278" s="52">
        <f>('TE BE'!$AB$39+'TE BF'!$AB$39+'TE CVA'!$AB$39)*1*(1-0.03)</f>
        <v>261.13311241088314</v>
      </c>
      <c r="AB278" s="6">
        <f>$K$278*$V$278</f>
        <v>0</v>
      </c>
      <c r="AC278" s="6">
        <f>$M$278*$W$278</f>
        <v>12254.722227600001</v>
      </c>
      <c r="AD278" s="6">
        <f>$O$278*$X$278</f>
        <v>5874.5894079999998</v>
      </c>
      <c r="AE278" s="6">
        <f>$K$278*$Y$278</f>
        <v>0</v>
      </c>
      <c r="AF278" s="6">
        <f ca="1">$M$278*$Z$278</f>
        <v>13275.625772983944</v>
      </c>
      <c r="AG278" s="6">
        <f>$O$278*$AA$278</f>
        <v>7364.4760362117268</v>
      </c>
    </row>
    <row r="279" spans="1:33" ht="11.25" customHeight="1" x14ac:dyDescent="0.3">
      <c r="A279" s="4" t="s">
        <v>21</v>
      </c>
      <c r="B279" s="4" t="s">
        <v>36</v>
      </c>
      <c r="C279" s="4" t="s">
        <v>23</v>
      </c>
      <c r="D279" s="4" t="s">
        <v>47</v>
      </c>
      <c r="E279" s="4" t="s">
        <v>48</v>
      </c>
      <c r="F279" s="4" t="s">
        <v>25</v>
      </c>
      <c r="G279" s="4" t="s">
        <v>25</v>
      </c>
      <c r="H279" s="4" t="s">
        <v>25</v>
      </c>
      <c r="I279" s="5">
        <v>44501</v>
      </c>
      <c r="J279" s="6">
        <v>0</v>
      </c>
      <c r="K279" s="52">
        <v>0</v>
      </c>
      <c r="L279" s="6">
        <v>26.925000000000001</v>
      </c>
      <c r="M279" s="52">
        <v>26.925000000000001</v>
      </c>
      <c r="N279" s="6">
        <v>26.925000000000001</v>
      </c>
      <c r="O279" s="52">
        <v>26.925000000000001</v>
      </c>
      <c r="P279" s="6">
        <v>6</v>
      </c>
      <c r="Q279" s="4" t="s">
        <v>26</v>
      </c>
      <c r="R279" s="4">
        <v>0</v>
      </c>
      <c r="S279" s="6">
        <v>0</v>
      </c>
      <c r="T279" s="6">
        <v>61</v>
      </c>
      <c r="U279" s="6">
        <v>2</v>
      </c>
      <c r="V279" s="52">
        <f>IF(ISERROR(VLOOKUP($S$279,'TAR FIN'!$A$1:$O$85,15,0)),0,VLOOKUP($S$279,'TAR FIN'!$A$1:$O$85,15,0))</f>
        <v>0</v>
      </c>
      <c r="W279" s="52">
        <f>IF(ISERROR(VLOOKUP($T$279,'TAR FIN'!$A$1:$O$85,15,0)),0,VLOOKUP($T$279,'TAR FIN'!$A$1:$O$85,15,0))*(1-0.06)</f>
        <v>434.53379999999999</v>
      </c>
      <c r="X279" s="52">
        <f>IF(ISERROR(VLOOKUP($U$279,'TAR FIN'!$A$1:$O$85,15,0)),0,VLOOKUP($U$279,'TAR FIN'!$A$1:$O$85,15,0))*(1-0.06)</f>
        <v>208.30399999999997</v>
      </c>
      <c r="Y279" s="52"/>
      <c r="Z279" s="52">
        <f ca="1">('TUSD BE'!$AM$48+'TUSD BF'!$AM$48+'TUSD CVA'!$AM$48)*1*(1-0.03)</f>
        <v>470.73348602879025</v>
      </c>
      <c r="AA279" s="52">
        <f>('TE BE'!$AB$39+'TE BF'!$AB$39+'TE CVA'!$AB$39)*1*(1-0.03)</f>
        <v>261.13311241088314</v>
      </c>
      <c r="AB279" s="6">
        <f>$K$279*$V$279</f>
        <v>0</v>
      </c>
      <c r="AC279" s="6">
        <f>$M$279*$W$279</f>
        <v>11699.822565</v>
      </c>
      <c r="AD279" s="6">
        <f>$O$279*$X$279</f>
        <v>5608.5851999999995</v>
      </c>
      <c r="AE279" s="6">
        <f>$K$279*$Y$279</f>
        <v>0</v>
      </c>
      <c r="AF279" s="6">
        <f ca="1">$M$279*$Z$279</f>
        <v>12674.499111325178</v>
      </c>
      <c r="AG279" s="6">
        <f>$O$279*$AA$279</f>
        <v>7031.0090516630289</v>
      </c>
    </row>
    <row r="280" spans="1:33" ht="11.25" customHeight="1" x14ac:dyDescent="0.3">
      <c r="A280" s="4" t="s">
        <v>21</v>
      </c>
      <c r="B280" s="4" t="s">
        <v>36</v>
      </c>
      <c r="C280" s="4" t="s">
        <v>23</v>
      </c>
      <c r="D280" s="4" t="s">
        <v>47</v>
      </c>
      <c r="E280" s="4" t="s">
        <v>48</v>
      </c>
      <c r="F280" s="4" t="s">
        <v>25</v>
      </c>
      <c r="G280" s="4" t="s">
        <v>25</v>
      </c>
      <c r="H280" s="4" t="s">
        <v>25</v>
      </c>
      <c r="I280" s="5">
        <v>44531</v>
      </c>
      <c r="J280" s="6">
        <v>0</v>
      </c>
      <c r="K280" s="52">
        <v>0</v>
      </c>
      <c r="L280" s="6">
        <v>27.533000000000001</v>
      </c>
      <c r="M280" s="52">
        <v>27.533000000000001</v>
      </c>
      <c r="N280" s="6">
        <v>27.533000000000001</v>
      </c>
      <c r="O280" s="52">
        <v>27.533000000000001</v>
      </c>
      <c r="P280" s="6">
        <v>6</v>
      </c>
      <c r="Q280" s="4" t="s">
        <v>26</v>
      </c>
      <c r="R280" s="4">
        <v>0</v>
      </c>
      <c r="S280" s="6">
        <v>0</v>
      </c>
      <c r="T280" s="6">
        <v>61</v>
      </c>
      <c r="U280" s="6">
        <v>2</v>
      </c>
      <c r="V280" s="52">
        <f>IF(ISERROR(VLOOKUP($S$280,'TAR FIN'!$A$1:$O$85,15,0)),0,VLOOKUP($S$280,'TAR FIN'!$A$1:$O$85,15,0))</f>
        <v>0</v>
      </c>
      <c r="W280" s="52">
        <f>IF(ISERROR(VLOOKUP($T$280,'TAR FIN'!$A$1:$O$85,15,0)),0,VLOOKUP($T$280,'TAR FIN'!$A$1:$O$85,15,0))*(1-0.06)</f>
        <v>434.53379999999999</v>
      </c>
      <c r="X280" s="52">
        <f>IF(ISERROR(VLOOKUP($U$280,'TAR FIN'!$A$1:$O$85,15,0)),0,VLOOKUP($U$280,'TAR FIN'!$A$1:$O$85,15,0))*(1-0.06)</f>
        <v>208.30399999999997</v>
      </c>
      <c r="Y280" s="52"/>
      <c r="Z280" s="52">
        <f ca="1">('TUSD BE'!$AM$48+'TUSD BF'!$AM$48+'TUSD CVA'!$AM$48)*1*(1-0.03)</f>
        <v>470.73348602879025</v>
      </c>
      <c r="AA280" s="52">
        <f>('TE BE'!$AB$39+'TE BF'!$AB$39+'TE CVA'!$AB$39)*1*(1-0.03)</f>
        <v>261.13311241088314</v>
      </c>
      <c r="AB280" s="6">
        <f>$K$280*$V$280</f>
        <v>0</v>
      </c>
      <c r="AC280" s="6">
        <f>$M$280*$W$280</f>
        <v>11964.0191154</v>
      </c>
      <c r="AD280" s="6">
        <f>$O$280*$X$280</f>
        <v>5735.2340319999994</v>
      </c>
      <c r="AE280" s="6">
        <f>$K$280*$Y$280</f>
        <v>0</v>
      </c>
      <c r="AF280" s="6">
        <f ca="1">$M$280*$Z$280</f>
        <v>12960.705070830683</v>
      </c>
      <c r="AG280" s="6">
        <f>$O$280*$AA$280</f>
        <v>7189.777984008846</v>
      </c>
    </row>
    <row r="281" spans="1:33" ht="11.25" customHeight="1" x14ac:dyDescent="0.3">
      <c r="A281" s="4" t="s">
        <v>21</v>
      </c>
      <c r="B281" s="4" t="s">
        <v>36</v>
      </c>
      <c r="C281" s="4" t="s">
        <v>23</v>
      </c>
      <c r="D281" s="4" t="s">
        <v>47</v>
      </c>
      <c r="E281" s="4" t="s">
        <v>48</v>
      </c>
      <c r="F281" s="4" t="s">
        <v>25</v>
      </c>
      <c r="G281" s="4" t="s">
        <v>25</v>
      </c>
      <c r="H281" s="4" t="s">
        <v>25</v>
      </c>
      <c r="I281" s="5">
        <v>44562</v>
      </c>
      <c r="J281" s="6">
        <v>0</v>
      </c>
      <c r="K281" s="52">
        <v>0</v>
      </c>
      <c r="L281" s="6">
        <v>37.966000000000001</v>
      </c>
      <c r="M281" s="52">
        <v>37.966000000000001</v>
      </c>
      <c r="N281" s="6">
        <v>37.966000000000001</v>
      </c>
      <c r="O281" s="52">
        <v>37.966000000000001</v>
      </c>
      <c r="P281" s="6">
        <v>6</v>
      </c>
      <c r="Q281" s="4" t="s">
        <v>26</v>
      </c>
      <c r="R281" s="4">
        <v>0</v>
      </c>
      <c r="S281" s="6">
        <v>0</v>
      </c>
      <c r="T281" s="6">
        <v>61</v>
      </c>
      <c r="U281" s="6">
        <v>2</v>
      </c>
      <c r="V281" s="52">
        <f>IF(ISERROR(VLOOKUP($S$281,'TAR FIN'!$A$1:$O$85,15,0)),0,VLOOKUP($S$281,'TAR FIN'!$A$1:$O$85,15,0))</f>
        <v>0</v>
      </c>
      <c r="W281" s="52">
        <f>IF(ISERROR(VLOOKUP($T$281,'TAR FIN'!$A$1:$O$85,15,0)),0,VLOOKUP($T$281,'TAR FIN'!$A$1:$O$85,15,0))*(1-0.06)</f>
        <v>434.53379999999999</v>
      </c>
      <c r="X281" s="52">
        <f>IF(ISERROR(VLOOKUP($U$281,'TAR FIN'!$A$1:$O$85,15,0)),0,VLOOKUP($U$281,'TAR FIN'!$A$1:$O$85,15,0))*(1-0.06)</f>
        <v>208.30399999999997</v>
      </c>
      <c r="Y281" s="52"/>
      <c r="Z281" s="52">
        <f ca="1">('TUSD BE'!$AM$48+'TUSD BF'!$AM$48+'TUSD CVA'!$AM$48)*1*(1-0.03)</f>
        <v>470.73348602879025</v>
      </c>
      <c r="AA281" s="52">
        <f>('TE BE'!$AB$39+'TE BF'!$AB$39+'TE CVA'!$AB$39)*1*(1-0.03)</f>
        <v>261.13311241088314</v>
      </c>
      <c r="AB281" s="6">
        <f>$K$281*$V$281</f>
        <v>0</v>
      </c>
      <c r="AC281" s="6">
        <f>$M$281*$W$281</f>
        <v>16497.510250799998</v>
      </c>
      <c r="AD281" s="6">
        <f>$O$281*$X$281</f>
        <v>7908.4696639999993</v>
      </c>
      <c r="AE281" s="6">
        <f>$K$281*$Y$281</f>
        <v>0</v>
      </c>
      <c r="AF281" s="6">
        <f ca="1">$M$281*$Z$281</f>
        <v>17871.867530569052</v>
      </c>
      <c r="AG281" s="6">
        <f>$O$281*$AA$281</f>
        <v>9914.1797457915891</v>
      </c>
    </row>
    <row r="282" spans="1:33" ht="11.25" customHeight="1" x14ac:dyDescent="0.3">
      <c r="A282" s="4" t="s">
        <v>21</v>
      </c>
      <c r="B282" s="4" t="s">
        <v>36</v>
      </c>
      <c r="C282" s="4" t="s">
        <v>23</v>
      </c>
      <c r="D282" s="4" t="s">
        <v>47</v>
      </c>
      <c r="E282" s="4" t="s">
        <v>48</v>
      </c>
      <c r="F282" s="4" t="s">
        <v>25</v>
      </c>
      <c r="G282" s="4" t="s">
        <v>25</v>
      </c>
      <c r="H282" s="4" t="s">
        <v>25</v>
      </c>
      <c r="I282" s="5">
        <v>44593</v>
      </c>
      <c r="J282" s="6">
        <v>0</v>
      </c>
      <c r="K282" s="52">
        <v>0</v>
      </c>
      <c r="L282" s="6">
        <v>30.204000000000001</v>
      </c>
      <c r="M282" s="52">
        <v>30.204000000000001</v>
      </c>
      <c r="N282" s="6">
        <v>30.204000000000001</v>
      </c>
      <c r="O282" s="52">
        <v>30.204000000000001</v>
      </c>
      <c r="P282" s="6">
        <v>6</v>
      </c>
      <c r="Q282" s="4" t="s">
        <v>26</v>
      </c>
      <c r="R282" s="4">
        <v>0</v>
      </c>
      <c r="S282" s="6">
        <v>0</v>
      </c>
      <c r="T282" s="6">
        <v>61</v>
      </c>
      <c r="U282" s="6">
        <v>2</v>
      </c>
      <c r="V282" s="52">
        <f>IF(ISERROR(VLOOKUP($S$282,'TAR FIN'!$A$1:$O$85,15,0)),0,VLOOKUP($S$282,'TAR FIN'!$A$1:$O$85,15,0))</f>
        <v>0</v>
      </c>
      <c r="W282" s="52">
        <f>IF(ISERROR(VLOOKUP($T$282,'TAR FIN'!$A$1:$O$85,15,0)),0,VLOOKUP($T$282,'TAR FIN'!$A$1:$O$85,15,0))*(1-0.06)</f>
        <v>434.53379999999999</v>
      </c>
      <c r="X282" s="52">
        <f>IF(ISERROR(VLOOKUP($U$282,'TAR FIN'!$A$1:$O$85,15,0)),0,VLOOKUP($U$282,'TAR FIN'!$A$1:$O$85,15,0))*(1-0.06)</f>
        <v>208.30399999999997</v>
      </c>
      <c r="Y282" s="52"/>
      <c r="Z282" s="52">
        <f ca="1">('TUSD BE'!$AM$48+'TUSD BF'!$AM$48+'TUSD CVA'!$AM$48)*1*(1-0.03)</f>
        <v>470.73348602879025</v>
      </c>
      <c r="AA282" s="52">
        <f>('TE BE'!$AB$39+'TE BF'!$AB$39+'TE CVA'!$AB$39)*1*(1-0.03)</f>
        <v>261.13311241088314</v>
      </c>
      <c r="AB282" s="6">
        <f>$K$282*$V$282</f>
        <v>0</v>
      </c>
      <c r="AC282" s="6">
        <f>$M$282*$W$282</f>
        <v>13124.6588952</v>
      </c>
      <c r="AD282" s="6">
        <f>$O$282*$X$282</f>
        <v>6291.6140159999995</v>
      </c>
      <c r="AE282" s="6">
        <f>$K$282*$Y$282</f>
        <v>0</v>
      </c>
      <c r="AF282" s="6">
        <f ca="1">$M$282*$Z$282</f>
        <v>14218.034212013581</v>
      </c>
      <c r="AG282" s="6">
        <f>$O$282*$AA$282</f>
        <v>7887.264527258315</v>
      </c>
    </row>
    <row r="283" spans="1:33" ht="11.25" customHeight="1" x14ac:dyDescent="0.3">
      <c r="A283" s="4" t="s">
        <v>21</v>
      </c>
      <c r="B283" s="4" t="s">
        <v>36</v>
      </c>
      <c r="C283" s="4" t="s">
        <v>23</v>
      </c>
      <c r="D283" s="4" t="s">
        <v>47</v>
      </c>
      <c r="E283" s="4" t="s">
        <v>48</v>
      </c>
      <c r="F283" s="4" t="s">
        <v>25</v>
      </c>
      <c r="G283" s="4" t="s">
        <v>25</v>
      </c>
      <c r="H283" s="4" t="s">
        <v>25</v>
      </c>
      <c r="I283" s="5">
        <v>44621</v>
      </c>
      <c r="J283" s="6">
        <v>0</v>
      </c>
      <c r="K283" s="52">
        <v>0</v>
      </c>
      <c r="L283" s="6">
        <v>24.367000000000001</v>
      </c>
      <c r="M283" s="52">
        <v>24.367000000000001</v>
      </c>
      <c r="N283" s="6">
        <v>24.367000000000001</v>
      </c>
      <c r="O283" s="52">
        <v>24.367000000000001</v>
      </c>
      <c r="P283" s="6">
        <v>6</v>
      </c>
      <c r="Q283" s="4" t="s">
        <v>26</v>
      </c>
      <c r="R283" s="4">
        <v>0</v>
      </c>
      <c r="S283" s="6">
        <v>0</v>
      </c>
      <c r="T283" s="6">
        <v>61</v>
      </c>
      <c r="U283" s="6">
        <v>2</v>
      </c>
      <c r="V283" s="52">
        <f>IF(ISERROR(VLOOKUP($S$283,'TAR FIN'!$A$1:$O$85,15,0)),0,VLOOKUP($S$283,'TAR FIN'!$A$1:$O$85,15,0))</f>
        <v>0</v>
      </c>
      <c r="W283" s="52">
        <f>IF(ISERROR(VLOOKUP($T$283,'TAR FIN'!$A$1:$O$85,15,0)),0,VLOOKUP($T$283,'TAR FIN'!$A$1:$O$85,15,0))*(1-0.06)</f>
        <v>434.53379999999999</v>
      </c>
      <c r="X283" s="52">
        <f>IF(ISERROR(VLOOKUP($U$283,'TAR FIN'!$A$1:$O$85,15,0)),0,VLOOKUP($U$283,'TAR FIN'!$A$1:$O$85,15,0))*(1-0.06)</f>
        <v>208.30399999999997</v>
      </c>
      <c r="Y283" s="52"/>
      <c r="Z283" s="52">
        <f ca="1">('TUSD BE'!$AM$48+'TUSD BF'!$AM$48+'TUSD CVA'!$AM$48)*1*(1-0.03)</f>
        <v>470.73348602879025</v>
      </c>
      <c r="AA283" s="52">
        <f>('TE BE'!$AB$39+'TE BF'!$AB$39+'TE CVA'!$AB$39)*1*(1-0.03)</f>
        <v>261.13311241088314</v>
      </c>
      <c r="AB283" s="6">
        <f>$K$283*$V$283</f>
        <v>0</v>
      </c>
      <c r="AC283" s="6">
        <f>$M$283*$W$283</f>
        <v>10588.2851046</v>
      </c>
      <c r="AD283" s="6">
        <f>$O$283*$X$283</f>
        <v>5075.7435679999999</v>
      </c>
      <c r="AE283" s="6">
        <f>$K$283*$Y$283</f>
        <v>0</v>
      </c>
      <c r="AF283" s="6">
        <f ca="1">$M$283*$Z$283</f>
        <v>11470.362854063533</v>
      </c>
      <c r="AG283" s="6">
        <f>$O$283*$AA$283</f>
        <v>6363.0305501159901</v>
      </c>
    </row>
    <row r="284" spans="1:33" ht="11.25" customHeight="1" x14ac:dyDescent="0.3">
      <c r="A284" s="4" t="s">
        <v>21</v>
      </c>
      <c r="B284" s="4" t="s">
        <v>36</v>
      </c>
      <c r="C284" s="4" t="s">
        <v>23</v>
      </c>
      <c r="D284" s="4" t="s">
        <v>47</v>
      </c>
      <c r="E284" s="4" t="s">
        <v>48</v>
      </c>
      <c r="F284" s="4" t="s">
        <v>25</v>
      </c>
      <c r="G284" s="4" t="s">
        <v>25</v>
      </c>
      <c r="H284" s="4" t="s">
        <v>25</v>
      </c>
      <c r="I284" s="5">
        <v>44652</v>
      </c>
      <c r="J284" s="6">
        <v>0</v>
      </c>
      <c r="K284" s="52">
        <v>0</v>
      </c>
      <c r="L284" s="6">
        <v>41.77</v>
      </c>
      <c r="M284" s="52">
        <v>41.77</v>
      </c>
      <c r="N284" s="6">
        <v>41.77</v>
      </c>
      <c r="O284" s="52">
        <v>41.77</v>
      </c>
      <c r="P284" s="6">
        <v>6</v>
      </c>
      <c r="Q284" s="4" t="s">
        <v>26</v>
      </c>
      <c r="R284" s="4">
        <v>0</v>
      </c>
      <c r="S284" s="6">
        <v>0</v>
      </c>
      <c r="T284" s="6">
        <v>61</v>
      </c>
      <c r="U284" s="6">
        <v>2</v>
      </c>
      <c r="V284" s="52">
        <f>IF(ISERROR(VLOOKUP($S$284,'TAR FIN'!$A$1:$O$85,15,0)),0,VLOOKUP($S$284,'TAR FIN'!$A$1:$O$85,15,0))</f>
        <v>0</v>
      </c>
      <c r="W284" s="52">
        <f>IF(ISERROR(VLOOKUP($T$284,'TAR FIN'!$A$1:$O$85,15,0)),0,VLOOKUP($T$284,'TAR FIN'!$A$1:$O$85,15,0))*(1-0.06)</f>
        <v>434.53379999999999</v>
      </c>
      <c r="X284" s="52">
        <f>IF(ISERROR(VLOOKUP($U$284,'TAR FIN'!$A$1:$O$85,15,0)),0,VLOOKUP($U$284,'TAR FIN'!$A$1:$O$85,15,0))*(1-0.06)</f>
        <v>208.30399999999997</v>
      </c>
      <c r="Y284" s="52"/>
      <c r="Z284" s="52">
        <f ca="1">('TUSD BE'!$AM$48+'TUSD BF'!$AM$48+'TUSD CVA'!$AM$48)*1*(1-0.03)</f>
        <v>470.73348602879025</v>
      </c>
      <c r="AA284" s="52">
        <f>('TE BE'!$AB$39+'TE BF'!$AB$39+'TE CVA'!$AB$39)*1*(1-0.03)</f>
        <v>261.13311241088314</v>
      </c>
      <c r="AB284" s="6">
        <f>$K$284*$V$284</f>
        <v>0</v>
      </c>
      <c r="AC284" s="6">
        <f>$M$284*$W$284</f>
        <v>18150.476826000002</v>
      </c>
      <c r="AD284" s="6">
        <f>$O$284*$X$284</f>
        <v>8700.85808</v>
      </c>
      <c r="AE284" s="6">
        <f>$K$284*$Y$284</f>
        <v>0</v>
      </c>
      <c r="AF284" s="6">
        <f ca="1">$M$284*$Z$284</f>
        <v>19662.53771142257</v>
      </c>
      <c r="AG284" s="6">
        <f>$O$284*$AA$284</f>
        <v>10907.530105402589</v>
      </c>
    </row>
    <row r="285" spans="1:33" ht="11.25" customHeight="1" x14ac:dyDescent="0.3">
      <c r="A285" s="4" t="s">
        <v>21</v>
      </c>
      <c r="B285" s="4" t="s">
        <v>36</v>
      </c>
      <c r="C285" s="4" t="s">
        <v>23</v>
      </c>
      <c r="D285" s="4" t="s">
        <v>47</v>
      </c>
      <c r="E285" s="4" t="s">
        <v>48</v>
      </c>
      <c r="F285" s="4" t="s">
        <v>25</v>
      </c>
      <c r="G285" s="4" t="s">
        <v>25</v>
      </c>
      <c r="H285" s="4" t="s">
        <v>25</v>
      </c>
      <c r="I285" s="5">
        <v>44682</v>
      </c>
      <c r="J285" s="6">
        <v>0</v>
      </c>
      <c r="K285" s="52">
        <v>0</v>
      </c>
      <c r="L285" s="6">
        <v>37.753</v>
      </c>
      <c r="M285" s="52">
        <v>37.753</v>
      </c>
      <c r="N285" s="6">
        <v>37.753</v>
      </c>
      <c r="O285" s="52">
        <v>37.753</v>
      </c>
      <c r="P285" s="6">
        <v>6</v>
      </c>
      <c r="Q285" s="4" t="s">
        <v>26</v>
      </c>
      <c r="R285" s="4">
        <v>0</v>
      </c>
      <c r="S285" s="6">
        <v>0</v>
      </c>
      <c r="T285" s="6">
        <v>61</v>
      </c>
      <c r="U285" s="6">
        <v>2</v>
      </c>
      <c r="V285" s="52">
        <f>IF(ISERROR(VLOOKUP($S$285,'TAR FIN'!$A$1:$O$85,15,0)),0,VLOOKUP($S$285,'TAR FIN'!$A$1:$O$85,15,0))</f>
        <v>0</v>
      </c>
      <c r="W285" s="52">
        <f>IF(ISERROR(VLOOKUP($T$285,'TAR FIN'!$A$1:$O$85,15,0)),0,VLOOKUP($T$285,'TAR FIN'!$A$1:$O$85,15,0))*(1-0.06)</f>
        <v>434.53379999999999</v>
      </c>
      <c r="X285" s="52">
        <f>IF(ISERROR(VLOOKUP($U$285,'TAR FIN'!$A$1:$O$85,15,0)),0,VLOOKUP($U$285,'TAR FIN'!$A$1:$O$85,15,0))*(1-0.06)</f>
        <v>208.30399999999997</v>
      </c>
      <c r="Y285" s="52"/>
      <c r="Z285" s="52">
        <f ca="1">('TUSD BE'!$AM$48+'TUSD BF'!$AM$48+'TUSD CVA'!$AM$48)*1*(1-0.03)</f>
        <v>470.73348602879025</v>
      </c>
      <c r="AA285" s="52">
        <f>('TE BE'!$AB$39+'TE BF'!$AB$39+'TE CVA'!$AB$39)*1*(1-0.03)</f>
        <v>261.13311241088314</v>
      </c>
      <c r="AB285" s="6">
        <f>$K$285*$V$285</f>
        <v>0</v>
      </c>
      <c r="AC285" s="6">
        <f>$M$285*$W$285</f>
        <v>16404.954551399998</v>
      </c>
      <c r="AD285" s="6">
        <f>$O$285*$X$285</f>
        <v>7864.100911999999</v>
      </c>
      <c r="AE285" s="6">
        <f>$K$285*$Y$285</f>
        <v>0</v>
      </c>
      <c r="AF285" s="6">
        <f ca="1">$M$285*$Z$285</f>
        <v>17771.60129804492</v>
      </c>
      <c r="AG285" s="6">
        <f>$O$285*$AA$285</f>
        <v>9858.5583928480719</v>
      </c>
    </row>
    <row r="286" spans="1:33" ht="11.25" customHeight="1" x14ac:dyDescent="0.3">
      <c r="A286" s="4" t="s">
        <v>21</v>
      </c>
      <c r="B286" s="4" t="s">
        <v>36</v>
      </c>
      <c r="C286" s="4" t="s">
        <v>23</v>
      </c>
      <c r="D286" s="4" t="s">
        <v>47</v>
      </c>
      <c r="E286" s="4" t="s">
        <v>48</v>
      </c>
      <c r="F286" s="4" t="s">
        <v>25</v>
      </c>
      <c r="G286" s="4" t="s">
        <v>25</v>
      </c>
      <c r="H286" s="4" t="s">
        <v>25</v>
      </c>
      <c r="I286" s="5">
        <v>44713</v>
      </c>
      <c r="J286" s="6">
        <v>0</v>
      </c>
      <c r="K286" s="52">
        <v>0</v>
      </c>
      <c r="L286" s="6">
        <v>20.911000000000001</v>
      </c>
      <c r="M286" s="52">
        <v>20.911000000000001</v>
      </c>
      <c r="N286" s="6">
        <v>20.911000000000001</v>
      </c>
      <c r="O286" s="52">
        <v>20.911000000000001</v>
      </c>
      <c r="P286" s="6">
        <v>6</v>
      </c>
      <c r="Q286" s="4" t="s">
        <v>26</v>
      </c>
      <c r="R286" s="4">
        <v>0</v>
      </c>
      <c r="S286" s="6">
        <v>0</v>
      </c>
      <c r="T286" s="6">
        <v>61</v>
      </c>
      <c r="U286" s="6">
        <v>2</v>
      </c>
      <c r="V286" s="52">
        <f>IF(ISERROR(VLOOKUP($S$286,'TAR FIN'!$A$1:$O$85,15,0)),0,VLOOKUP($S$286,'TAR FIN'!$A$1:$O$85,15,0))</f>
        <v>0</v>
      </c>
      <c r="W286" s="52">
        <f>IF(ISERROR(VLOOKUP($T$286,'TAR FIN'!$A$1:$O$85,15,0)),0,VLOOKUP($T$286,'TAR FIN'!$A$1:$O$85,15,0))*(1-0.06)</f>
        <v>434.53379999999999</v>
      </c>
      <c r="X286" s="52">
        <f>IF(ISERROR(VLOOKUP($U$286,'TAR FIN'!$A$1:$O$85,15,0)),0,VLOOKUP($U$286,'TAR FIN'!$A$1:$O$85,15,0))*(1-0.06)</f>
        <v>208.30399999999997</v>
      </c>
      <c r="Y286" s="52"/>
      <c r="Z286" s="52">
        <f ca="1">('TUSD BE'!$AM$48+'TUSD BF'!$AM$48+'TUSD CVA'!$AM$48)*1*(1-0.03)</f>
        <v>470.73348602879025</v>
      </c>
      <c r="AA286" s="52">
        <f>('TE BE'!$AB$39+'TE BF'!$AB$39+'TE CVA'!$AB$39)*1*(1-0.03)</f>
        <v>261.13311241088314</v>
      </c>
      <c r="AB286" s="6">
        <f>$K$286*$V$286</f>
        <v>0</v>
      </c>
      <c r="AC286" s="6">
        <f>$M$286*$W$286</f>
        <v>9086.536291800001</v>
      </c>
      <c r="AD286" s="6">
        <f>$O$286*$X$286</f>
        <v>4355.8449439999995</v>
      </c>
      <c r="AE286" s="6">
        <f>$K$286*$Y$286</f>
        <v>0</v>
      </c>
      <c r="AF286" s="6">
        <f ca="1">$M$286*$Z$286</f>
        <v>9843.5079263480329</v>
      </c>
      <c r="AG286" s="6">
        <f>$O$286*$AA$286</f>
        <v>5460.554513623978</v>
      </c>
    </row>
    <row r="287" spans="1:33" ht="11.25" customHeight="1" x14ac:dyDescent="0.3">
      <c r="A287" s="4" t="s">
        <v>21</v>
      </c>
      <c r="B287" s="4" t="s">
        <v>36</v>
      </c>
      <c r="C287" s="4" t="s">
        <v>23</v>
      </c>
      <c r="D287" s="4" t="s">
        <v>47</v>
      </c>
      <c r="E287" s="4" t="s">
        <v>48</v>
      </c>
      <c r="F287" s="4" t="s">
        <v>25</v>
      </c>
      <c r="G287" s="4" t="s">
        <v>25</v>
      </c>
      <c r="H287" s="4" t="s">
        <v>25</v>
      </c>
      <c r="I287" s="5">
        <v>44743</v>
      </c>
      <c r="J287" s="6">
        <v>0</v>
      </c>
      <c r="K287" s="52">
        <v>0</v>
      </c>
      <c r="L287" s="6">
        <v>28.986999999999998</v>
      </c>
      <c r="M287" s="52">
        <v>28.986999999999998</v>
      </c>
      <c r="N287" s="6">
        <v>28.986999999999998</v>
      </c>
      <c r="O287" s="52">
        <v>28.986999999999998</v>
      </c>
      <c r="P287" s="6">
        <v>6</v>
      </c>
      <c r="Q287" s="4" t="s">
        <v>26</v>
      </c>
      <c r="R287" s="4">
        <v>0</v>
      </c>
      <c r="S287" s="6">
        <v>0</v>
      </c>
      <c r="T287" s="6">
        <v>61</v>
      </c>
      <c r="U287" s="6">
        <v>2</v>
      </c>
      <c r="V287" s="52">
        <f>IF(ISERROR(VLOOKUP($S$287,'TAR FIN'!$A$1:$O$85,15,0)),0,VLOOKUP($S$287,'TAR FIN'!$A$1:$O$85,15,0))</f>
        <v>0</v>
      </c>
      <c r="W287" s="52">
        <f>IF(ISERROR(VLOOKUP($T$287,'TAR FIN'!$A$1:$O$85,15,0)),0,VLOOKUP($T$287,'TAR FIN'!$A$1:$O$85,15,0))*(1-0.06)</f>
        <v>434.53379999999999</v>
      </c>
      <c r="X287" s="52">
        <f>IF(ISERROR(VLOOKUP($U$287,'TAR FIN'!$A$1:$O$85,15,0)),0,VLOOKUP($U$287,'TAR FIN'!$A$1:$O$85,15,0))*(1-0.06)</f>
        <v>208.30399999999997</v>
      </c>
      <c r="Y287" s="52"/>
      <c r="Z287" s="52">
        <f ca="1">('TUSD BE'!$AM$48+'TUSD BF'!$AM$48+'TUSD CVA'!$AM$48)*1*(1-0.03)</f>
        <v>470.73348602879025</v>
      </c>
      <c r="AA287" s="52">
        <f>('TE BE'!$AB$39+'TE BF'!$AB$39+'TE CVA'!$AB$39)*1*(1-0.03)</f>
        <v>261.13311241088314</v>
      </c>
      <c r="AB287" s="6">
        <f>$K$287*$V$287</f>
        <v>0</v>
      </c>
      <c r="AC287" s="6">
        <f>$M$287*$W$287</f>
        <v>12595.831260599998</v>
      </c>
      <c r="AD287" s="6">
        <f>$O$287*$X$287</f>
        <v>6038.1080479999991</v>
      </c>
      <c r="AE287" s="6">
        <f>$K$287*$Y$287</f>
        <v>0</v>
      </c>
      <c r="AF287" s="6">
        <f ca="1">$M$287*$Z$287</f>
        <v>13645.151559516542</v>
      </c>
      <c r="AG287" s="6">
        <f>$O$287*$AA$287</f>
        <v>7569.465529454269</v>
      </c>
    </row>
    <row r="288" spans="1:33" ht="11.25" customHeight="1" x14ac:dyDescent="0.3">
      <c r="A288" s="4" t="s">
        <v>21</v>
      </c>
      <c r="B288" s="4" t="s">
        <v>36</v>
      </c>
      <c r="C288" s="4" t="s">
        <v>23</v>
      </c>
      <c r="D288" s="4" t="s">
        <v>47</v>
      </c>
      <c r="E288" s="4" t="s">
        <v>48</v>
      </c>
      <c r="F288" s="4" t="s">
        <v>25</v>
      </c>
      <c r="G288" s="4" t="s">
        <v>25</v>
      </c>
      <c r="H288" s="4" t="s">
        <v>25</v>
      </c>
      <c r="I288" s="5">
        <v>44774</v>
      </c>
      <c r="J288" s="6">
        <v>0</v>
      </c>
      <c r="K288" s="52">
        <v>0</v>
      </c>
      <c r="L288" s="6">
        <v>29.271999999999998</v>
      </c>
      <c r="M288" s="52">
        <v>29.271999999999998</v>
      </c>
      <c r="N288" s="6">
        <v>29.271999999999998</v>
      </c>
      <c r="O288" s="52">
        <v>29.271999999999998</v>
      </c>
      <c r="P288" s="6">
        <v>6</v>
      </c>
      <c r="Q288" s="4" t="s">
        <v>26</v>
      </c>
      <c r="R288" s="4">
        <v>0</v>
      </c>
      <c r="S288" s="6">
        <v>0</v>
      </c>
      <c r="T288" s="6">
        <v>61</v>
      </c>
      <c r="U288" s="6">
        <v>2</v>
      </c>
      <c r="V288" s="52">
        <f>IF(ISERROR(VLOOKUP($S$288,'TAR FIN'!$A$1:$O$85,15,0)),0,VLOOKUP($S$288,'TAR FIN'!$A$1:$O$85,15,0))</f>
        <v>0</v>
      </c>
      <c r="W288" s="52">
        <f>IF(ISERROR(VLOOKUP($T$288,'TAR FIN'!$A$1:$O$85,15,0)),0,VLOOKUP($T$288,'TAR FIN'!$A$1:$O$85,15,0))*(1-0.06)</f>
        <v>434.53379999999999</v>
      </c>
      <c r="X288" s="52">
        <f>IF(ISERROR(VLOOKUP($U$288,'TAR FIN'!$A$1:$O$85,15,0)),0,VLOOKUP($U$288,'TAR FIN'!$A$1:$O$85,15,0))*(1-0.06)</f>
        <v>208.30399999999997</v>
      </c>
      <c r="Y288" s="52"/>
      <c r="Z288" s="52">
        <f ca="1">('TUSD BE'!$AM$48+'TUSD BF'!$AM$48+'TUSD CVA'!$AM$48)*1*(1-0.03)</f>
        <v>470.73348602879025</v>
      </c>
      <c r="AA288" s="52">
        <f>('TE BE'!$AB$39+'TE BF'!$AB$39+'TE CVA'!$AB$39)*1*(1-0.03)</f>
        <v>261.13311241088314</v>
      </c>
      <c r="AB288" s="6">
        <f>$K$288*$V$288</f>
        <v>0</v>
      </c>
      <c r="AC288" s="6">
        <f>$M$288*$W$288</f>
        <v>12719.673393599998</v>
      </c>
      <c r="AD288" s="6">
        <f>$O$288*$X$288</f>
        <v>6097.4746879999993</v>
      </c>
      <c r="AE288" s="6">
        <f>$K$288*$Y$288</f>
        <v>0</v>
      </c>
      <c r="AF288" s="6">
        <f ca="1">$M$288*$Z$288</f>
        <v>13779.310603034748</v>
      </c>
      <c r="AG288" s="6">
        <f>$O$288*$AA$288</f>
        <v>7643.8884664913712</v>
      </c>
    </row>
    <row r="289" spans="1:33" ht="11.25" customHeight="1" x14ac:dyDescent="0.3">
      <c r="A289" s="4" t="s">
        <v>21</v>
      </c>
      <c r="B289" s="4" t="s">
        <v>44</v>
      </c>
      <c r="C289" s="4" t="s">
        <v>23</v>
      </c>
      <c r="D289" s="4" t="s">
        <v>45</v>
      </c>
      <c r="E289" s="4" t="s">
        <v>46</v>
      </c>
      <c r="F289" s="4" t="s">
        <v>25</v>
      </c>
      <c r="G289" s="4" t="s">
        <v>25</v>
      </c>
      <c r="H289" s="4" t="s">
        <v>25</v>
      </c>
      <c r="I289" s="5">
        <v>44440</v>
      </c>
      <c r="J289" s="6">
        <v>0</v>
      </c>
      <c r="K289" s="6">
        <v>0</v>
      </c>
      <c r="L289" s="6">
        <v>43.204999999999998</v>
      </c>
      <c r="M289" s="6">
        <v>43.204999999999998</v>
      </c>
      <c r="N289" s="6">
        <v>43.204999999999998</v>
      </c>
      <c r="O289" s="6">
        <v>43.204999999999998</v>
      </c>
      <c r="P289" s="6">
        <v>3</v>
      </c>
      <c r="Q289" s="4" t="s">
        <v>26</v>
      </c>
      <c r="R289" s="4">
        <v>0</v>
      </c>
      <c r="S289" s="6">
        <v>0</v>
      </c>
      <c r="T289" s="6">
        <v>67</v>
      </c>
      <c r="U289" s="6">
        <v>7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254.25</v>
      </c>
      <c r="X289" s="6">
        <f>IF(ISERROR(VLOOKUP($U$289,'TAR FIN'!$A$1:$O$85,15,0)),0,VLOOKUP($U$289,'TAR FIN'!$A$1:$O$85,15,0))</f>
        <v>121.88</v>
      </c>
      <c r="Y289" s="6"/>
      <c r="Z289" s="6">
        <f ca="1">('TUSD BE'!$AM$50+'TUSD BF'!$AM$50+'TUSD CVA'!$AM$50)*1</f>
        <v>266.91073950086047</v>
      </c>
      <c r="AA289" s="6">
        <f>('TE BE'!$AB$41+'TE BF'!$AB$41+'TE CVA'!$AB$41)*1</f>
        <v>148.06516683091314</v>
      </c>
      <c r="AB289" s="6">
        <f>$K$289*$V$289</f>
        <v>0</v>
      </c>
      <c r="AC289" s="6">
        <f>$M$289*$W$289</f>
        <v>10984.87125</v>
      </c>
      <c r="AD289" s="6">
        <f>$O$289*$X$289</f>
        <v>5265.8253999999997</v>
      </c>
      <c r="AE289" s="6">
        <f>$K$289*$Y$289</f>
        <v>0</v>
      </c>
      <c r="AF289" s="6">
        <f ca="1">$M$289*$Z$289</f>
        <v>11531.878500134677</v>
      </c>
      <c r="AG289" s="6">
        <f>$O$289*$AA$289</f>
        <v>6397.1555329296025</v>
      </c>
    </row>
    <row r="290" spans="1:33" ht="11.25" customHeight="1" x14ac:dyDescent="0.3">
      <c r="A290" s="4" t="s">
        <v>21</v>
      </c>
      <c r="B290" s="4" t="s">
        <v>44</v>
      </c>
      <c r="C290" s="4" t="s">
        <v>23</v>
      </c>
      <c r="D290" s="4" t="s">
        <v>45</v>
      </c>
      <c r="E290" s="4" t="s">
        <v>46</v>
      </c>
      <c r="F290" s="4" t="s">
        <v>25</v>
      </c>
      <c r="G290" s="4" t="s">
        <v>25</v>
      </c>
      <c r="H290" s="4" t="s">
        <v>25</v>
      </c>
      <c r="I290" s="5">
        <v>44470</v>
      </c>
      <c r="J290" s="6">
        <v>0</v>
      </c>
      <c r="K290" s="6">
        <v>0</v>
      </c>
      <c r="L290" s="6">
        <v>44.646999999999998</v>
      </c>
      <c r="M290" s="6">
        <v>44.646999999999998</v>
      </c>
      <c r="N290" s="6">
        <v>44.646999999999998</v>
      </c>
      <c r="O290" s="6">
        <v>44.646999999999998</v>
      </c>
      <c r="P290" s="6">
        <v>3</v>
      </c>
      <c r="Q290" s="4" t="s">
        <v>26</v>
      </c>
      <c r="R290" s="4">
        <v>0</v>
      </c>
      <c r="S290" s="6">
        <v>0</v>
      </c>
      <c r="T290" s="6">
        <v>67</v>
      </c>
      <c r="U290" s="6">
        <v>7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254.25</v>
      </c>
      <c r="X290" s="6">
        <f>IF(ISERROR(VLOOKUP($U$290,'TAR FIN'!$A$1:$O$85,15,0)),0,VLOOKUP($U$290,'TAR FIN'!$A$1:$O$85,15,0))</f>
        <v>121.88</v>
      </c>
      <c r="Y290" s="6"/>
      <c r="Z290" s="6">
        <f ca="1">('TUSD BE'!$AM$50+'TUSD BF'!$AM$50+'TUSD CVA'!$AM$50)*1</f>
        <v>266.91073950086047</v>
      </c>
      <c r="AA290" s="6">
        <f>('TE BE'!$AB$41+'TE BF'!$AB$41+'TE CVA'!$AB$41)*1</f>
        <v>148.06516683091314</v>
      </c>
      <c r="AB290" s="6">
        <f>$K$290*$V$290</f>
        <v>0</v>
      </c>
      <c r="AC290" s="6">
        <f>$M$290*$W$290</f>
        <v>11351.499749999999</v>
      </c>
      <c r="AD290" s="6">
        <f>$O$290*$X$290</f>
        <v>5441.57636</v>
      </c>
      <c r="AE290" s="6">
        <f>$K$290*$Y$290</f>
        <v>0</v>
      </c>
      <c r="AF290" s="6">
        <f ca="1">$M$290*$Z$290</f>
        <v>11916.763786494917</v>
      </c>
      <c r="AG290" s="6">
        <f>$O$290*$AA$290</f>
        <v>6610.6655034997784</v>
      </c>
    </row>
    <row r="291" spans="1:33" ht="11.25" customHeight="1" x14ac:dyDescent="0.3">
      <c r="A291" s="4" t="s">
        <v>21</v>
      </c>
      <c r="B291" s="4" t="s">
        <v>44</v>
      </c>
      <c r="C291" s="4" t="s">
        <v>23</v>
      </c>
      <c r="D291" s="4" t="s">
        <v>45</v>
      </c>
      <c r="E291" s="4" t="s">
        <v>46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45.448</v>
      </c>
      <c r="M291" s="6">
        <v>45.448</v>
      </c>
      <c r="N291" s="6">
        <v>45.448</v>
      </c>
      <c r="O291" s="6">
        <v>45.448</v>
      </c>
      <c r="P291" s="6">
        <v>3</v>
      </c>
      <c r="Q291" s="4" t="s">
        <v>26</v>
      </c>
      <c r="R291" s="4">
        <v>0</v>
      </c>
      <c r="S291" s="6">
        <v>0</v>
      </c>
      <c r="T291" s="6">
        <v>67</v>
      </c>
      <c r="U291" s="6">
        <v>7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254.25</v>
      </c>
      <c r="X291" s="6">
        <f>IF(ISERROR(VLOOKUP($U$291,'TAR FIN'!$A$1:$O$85,15,0)),0,VLOOKUP($U$291,'TAR FIN'!$A$1:$O$85,15,0))</f>
        <v>121.88</v>
      </c>
      <c r="Y291" s="6"/>
      <c r="Z291" s="6">
        <f ca="1">('TUSD BE'!$AM$50+'TUSD BF'!$AM$50+'TUSD CVA'!$AM$50)*1</f>
        <v>266.91073950086047</v>
      </c>
      <c r="AA291" s="6">
        <f>('TE BE'!$AB$41+'TE BF'!$AB$41+'TE CVA'!$AB$41)*1</f>
        <v>148.06516683091314</v>
      </c>
      <c r="AB291" s="6">
        <f>$K$291*$V$291</f>
        <v>0</v>
      </c>
      <c r="AC291" s="6">
        <f>$M$291*$W$291</f>
        <v>11555.154</v>
      </c>
      <c r="AD291" s="6">
        <f>$O$291*$X$291</f>
        <v>5539.2022399999996</v>
      </c>
      <c r="AE291" s="6">
        <f>$K$291*$Y$291</f>
        <v>0</v>
      </c>
      <c r="AF291" s="6">
        <f ca="1">$M$291*$Z$291</f>
        <v>12130.559288835108</v>
      </c>
      <c r="AG291" s="6">
        <f>$O$291*$AA$291</f>
        <v>6729.2657021313407</v>
      </c>
    </row>
    <row r="292" spans="1:33" ht="11.25" customHeight="1" x14ac:dyDescent="0.3">
      <c r="A292" s="4" t="s">
        <v>21</v>
      </c>
      <c r="B292" s="4" t="s">
        <v>44</v>
      </c>
      <c r="C292" s="4" t="s">
        <v>23</v>
      </c>
      <c r="D292" s="4" t="s">
        <v>45</v>
      </c>
      <c r="E292" s="4" t="s">
        <v>46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46.963999999999999</v>
      </c>
      <c r="M292" s="6">
        <v>46.963999999999999</v>
      </c>
      <c r="N292" s="6">
        <v>46.963999999999999</v>
      </c>
      <c r="O292" s="6">
        <v>46.963999999999999</v>
      </c>
      <c r="P292" s="6">
        <v>3</v>
      </c>
      <c r="Q292" s="4" t="s">
        <v>26</v>
      </c>
      <c r="R292" s="4">
        <v>0</v>
      </c>
      <c r="S292" s="6">
        <v>0</v>
      </c>
      <c r="T292" s="6">
        <v>67</v>
      </c>
      <c r="U292" s="6">
        <v>7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254.25</v>
      </c>
      <c r="X292" s="6">
        <f>IF(ISERROR(VLOOKUP($U$292,'TAR FIN'!$A$1:$O$85,15,0)),0,VLOOKUP($U$292,'TAR FIN'!$A$1:$O$85,15,0))</f>
        <v>121.88</v>
      </c>
      <c r="Y292" s="6"/>
      <c r="Z292" s="6">
        <f ca="1">('TUSD BE'!$AM$50+'TUSD BF'!$AM$50+'TUSD CVA'!$AM$50)*1</f>
        <v>266.91073950086047</v>
      </c>
      <c r="AA292" s="6">
        <f>('TE BE'!$AB$41+'TE BF'!$AB$41+'TE CVA'!$AB$41)*1</f>
        <v>148.06516683091314</v>
      </c>
      <c r="AB292" s="6">
        <f>$K$292*$V$292</f>
        <v>0</v>
      </c>
      <c r="AC292" s="6">
        <f>$M$292*$W$292</f>
        <v>11940.597</v>
      </c>
      <c r="AD292" s="6">
        <f>$O$292*$X$292</f>
        <v>5723.9723199999999</v>
      </c>
      <c r="AE292" s="6">
        <f>$K$292*$Y$292</f>
        <v>0</v>
      </c>
      <c r="AF292" s="6">
        <f ca="1">$M$292*$Z$292</f>
        <v>12535.195969918412</v>
      </c>
      <c r="AG292" s="6">
        <f>$O$292*$AA$292</f>
        <v>6953.7324950470047</v>
      </c>
    </row>
    <row r="293" spans="1:33" ht="11.25" customHeight="1" x14ac:dyDescent="0.3">
      <c r="A293" s="4" t="s">
        <v>21</v>
      </c>
      <c r="B293" s="4" t="s">
        <v>44</v>
      </c>
      <c r="C293" s="4" t="s">
        <v>23</v>
      </c>
      <c r="D293" s="4" t="s">
        <v>45</v>
      </c>
      <c r="E293" s="4" t="s">
        <v>46</v>
      </c>
      <c r="F293" s="4" t="s">
        <v>25</v>
      </c>
      <c r="G293" s="4" t="s">
        <v>25</v>
      </c>
      <c r="H293" s="4" t="s">
        <v>25</v>
      </c>
      <c r="I293" s="5">
        <v>44562</v>
      </c>
      <c r="J293" s="6">
        <v>0</v>
      </c>
      <c r="K293" s="6">
        <v>0</v>
      </c>
      <c r="L293" s="6">
        <v>46.963999999999999</v>
      </c>
      <c r="M293" s="6">
        <v>46.963999999999999</v>
      </c>
      <c r="N293" s="6">
        <v>46.963999999999999</v>
      </c>
      <c r="O293" s="6">
        <v>46.963999999999999</v>
      </c>
      <c r="P293" s="6">
        <v>3</v>
      </c>
      <c r="Q293" s="4" t="s">
        <v>26</v>
      </c>
      <c r="R293" s="4">
        <v>0</v>
      </c>
      <c r="S293" s="6">
        <v>0</v>
      </c>
      <c r="T293" s="6">
        <v>67</v>
      </c>
      <c r="U293" s="6">
        <v>7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254.25</v>
      </c>
      <c r="X293" s="6">
        <f>IF(ISERROR(VLOOKUP($U$293,'TAR FIN'!$A$1:$O$85,15,0)),0,VLOOKUP($U$293,'TAR FIN'!$A$1:$O$85,15,0))</f>
        <v>121.88</v>
      </c>
      <c r="Y293" s="6"/>
      <c r="Z293" s="6">
        <f ca="1">('TUSD BE'!$AM$50+'TUSD BF'!$AM$50+'TUSD CVA'!$AM$50)*1</f>
        <v>266.91073950086047</v>
      </c>
      <c r="AA293" s="6">
        <f>('TE BE'!$AB$41+'TE BF'!$AB$41+'TE CVA'!$AB$41)*1</f>
        <v>148.06516683091314</v>
      </c>
      <c r="AB293" s="6">
        <f>$K$293*$V$293</f>
        <v>0</v>
      </c>
      <c r="AC293" s="6">
        <f>$M$293*$W$293</f>
        <v>11940.597</v>
      </c>
      <c r="AD293" s="6">
        <f>$O$293*$X$293</f>
        <v>5723.9723199999999</v>
      </c>
      <c r="AE293" s="6">
        <f>$K$293*$Y$293</f>
        <v>0</v>
      </c>
      <c r="AF293" s="6">
        <f ca="1">$M$293*$Z$293</f>
        <v>12535.195969918412</v>
      </c>
      <c r="AG293" s="6">
        <f>$O$293*$AA$293</f>
        <v>6953.7324950470047</v>
      </c>
    </row>
    <row r="294" spans="1:33" ht="11.25" customHeight="1" x14ac:dyDescent="0.3">
      <c r="A294" s="4" t="s">
        <v>21</v>
      </c>
      <c r="B294" s="4" t="s">
        <v>44</v>
      </c>
      <c r="C294" s="4" t="s">
        <v>23</v>
      </c>
      <c r="D294" s="4" t="s">
        <v>45</v>
      </c>
      <c r="E294" s="4" t="s">
        <v>46</v>
      </c>
      <c r="F294" s="4" t="s">
        <v>25</v>
      </c>
      <c r="G294" s="4" t="s">
        <v>25</v>
      </c>
      <c r="H294" s="4" t="s">
        <v>25</v>
      </c>
      <c r="I294" s="5">
        <v>44593</v>
      </c>
      <c r="J294" s="6">
        <v>0</v>
      </c>
      <c r="K294" s="6">
        <v>0</v>
      </c>
      <c r="L294" s="6">
        <v>43.518000000000001</v>
      </c>
      <c r="M294" s="6">
        <v>43.518000000000001</v>
      </c>
      <c r="N294" s="6">
        <v>43.518000000000001</v>
      </c>
      <c r="O294" s="6">
        <v>43.518000000000001</v>
      </c>
      <c r="P294" s="6">
        <v>3</v>
      </c>
      <c r="Q294" s="4" t="s">
        <v>26</v>
      </c>
      <c r="R294" s="4">
        <v>0</v>
      </c>
      <c r="S294" s="6">
        <v>0</v>
      </c>
      <c r="T294" s="6">
        <v>67</v>
      </c>
      <c r="U294" s="6">
        <v>7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254.25</v>
      </c>
      <c r="X294" s="6">
        <f>IF(ISERROR(VLOOKUP($U$294,'TAR FIN'!$A$1:$O$85,15,0)),0,VLOOKUP($U$294,'TAR FIN'!$A$1:$O$85,15,0))</f>
        <v>121.88</v>
      </c>
      <c r="Y294" s="6"/>
      <c r="Z294" s="6">
        <f ca="1">('TUSD BE'!$AM$50+'TUSD BF'!$AM$50+'TUSD CVA'!$AM$50)*1</f>
        <v>266.91073950086047</v>
      </c>
      <c r="AA294" s="6">
        <f>('TE BE'!$AB$41+'TE BF'!$AB$41+'TE CVA'!$AB$41)*1</f>
        <v>148.06516683091314</v>
      </c>
      <c r="AB294" s="6">
        <f>$K$294*$V$294</f>
        <v>0</v>
      </c>
      <c r="AC294" s="6">
        <f>$M$294*$W$294</f>
        <v>11064.451500000001</v>
      </c>
      <c r="AD294" s="6">
        <f>$O$294*$X$294</f>
        <v>5303.9738399999997</v>
      </c>
      <c r="AE294" s="6">
        <f>$K$294*$Y$294</f>
        <v>0</v>
      </c>
      <c r="AF294" s="6">
        <f ca="1">$M$294*$Z$294</f>
        <v>11615.421561598447</v>
      </c>
      <c r="AG294" s="6">
        <f>$O$294*$AA$294</f>
        <v>6443.4999301476782</v>
      </c>
    </row>
    <row r="295" spans="1:33" ht="11.25" customHeight="1" x14ac:dyDescent="0.3">
      <c r="A295" s="4" t="s">
        <v>21</v>
      </c>
      <c r="B295" s="4" t="s">
        <v>44</v>
      </c>
      <c r="C295" s="4" t="s">
        <v>23</v>
      </c>
      <c r="D295" s="4" t="s">
        <v>45</v>
      </c>
      <c r="E295" s="4" t="s">
        <v>46</v>
      </c>
      <c r="F295" s="4" t="s">
        <v>25</v>
      </c>
      <c r="G295" s="4" t="s">
        <v>25</v>
      </c>
      <c r="H295" s="4" t="s">
        <v>25</v>
      </c>
      <c r="I295" s="5">
        <v>44621</v>
      </c>
      <c r="J295" s="6">
        <v>0</v>
      </c>
      <c r="K295" s="6">
        <v>0</v>
      </c>
      <c r="L295" s="6">
        <v>46.963999999999999</v>
      </c>
      <c r="M295" s="6">
        <v>46.963999999999999</v>
      </c>
      <c r="N295" s="6">
        <v>46.963999999999999</v>
      </c>
      <c r="O295" s="6">
        <v>46.963999999999999</v>
      </c>
      <c r="P295" s="6">
        <v>3</v>
      </c>
      <c r="Q295" s="4" t="s">
        <v>26</v>
      </c>
      <c r="R295" s="4">
        <v>0</v>
      </c>
      <c r="S295" s="6">
        <v>0</v>
      </c>
      <c r="T295" s="6">
        <v>67</v>
      </c>
      <c r="U295" s="6">
        <v>7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254.25</v>
      </c>
      <c r="X295" s="6">
        <f>IF(ISERROR(VLOOKUP($U$295,'TAR FIN'!$A$1:$O$85,15,0)),0,VLOOKUP($U$295,'TAR FIN'!$A$1:$O$85,15,0))</f>
        <v>121.88</v>
      </c>
      <c r="Y295" s="6"/>
      <c r="Z295" s="6">
        <f ca="1">('TUSD BE'!$AM$50+'TUSD BF'!$AM$50+'TUSD CVA'!$AM$50)*1</f>
        <v>266.91073950086047</v>
      </c>
      <c r="AA295" s="6">
        <f>('TE BE'!$AB$41+'TE BF'!$AB$41+'TE CVA'!$AB$41)*1</f>
        <v>148.06516683091314</v>
      </c>
      <c r="AB295" s="6">
        <f>$K$295*$V$295</f>
        <v>0</v>
      </c>
      <c r="AC295" s="6">
        <f>$M$295*$W$295</f>
        <v>11940.597</v>
      </c>
      <c r="AD295" s="6">
        <f>$O$295*$X$295</f>
        <v>5723.9723199999999</v>
      </c>
      <c r="AE295" s="6">
        <f>$K$295*$Y$295</f>
        <v>0</v>
      </c>
      <c r="AF295" s="6">
        <f ca="1">$M$295*$Z$295</f>
        <v>12535.195969918412</v>
      </c>
      <c r="AG295" s="6">
        <f>$O$295*$AA$295</f>
        <v>6953.7324950470047</v>
      </c>
    </row>
    <row r="296" spans="1:33" ht="11.25" customHeight="1" x14ac:dyDescent="0.3">
      <c r="A296" s="4" t="s">
        <v>21</v>
      </c>
      <c r="B296" s="4" t="s">
        <v>44</v>
      </c>
      <c r="C296" s="4" t="s">
        <v>23</v>
      </c>
      <c r="D296" s="4" t="s">
        <v>45</v>
      </c>
      <c r="E296" s="4" t="s">
        <v>46</v>
      </c>
      <c r="F296" s="4" t="s">
        <v>25</v>
      </c>
      <c r="G296" s="4" t="s">
        <v>25</v>
      </c>
      <c r="H296" s="4" t="s">
        <v>25</v>
      </c>
      <c r="I296" s="5">
        <v>44652</v>
      </c>
      <c r="J296" s="6">
        <v>0</v>
      </c>
      <c r="K296" s="6">
        <v>0</v>
      </c>
      <c r="L296" s="6">
        <v>42.676000000000002</v>
      </c>
      <c r="M296" s="6">
        <v>42.676000000000002</v>
      </c>
      <c r="N296" s="6">
        <v>42.676000000000002</v>
      </c>
      <c r="O296" s="6">
        <v>42.676000000000002</v>
      </c>
      <c r="P296" s="6">
        <v>3</v>
      </c>
      <c r="Q296" s="4" t="s">
        <v>26</v>
      </c>
      <c r="R296" s="4">
        <v>0</v>
      </c>
      <c r="S296" s="6">
        <v>0</v>
      </c>
      <c r="T296" s="6">
        <v>67</v>
      </c>
      <c r="U296" s="6">
        <v>7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254.25</v>
      </c>
      <c r="X296" s="6">
        <f>IF(ISERROR(VLOOKUP($U$296,'TAR FIN'!$A$1:$O$85,15,0)),0,VLOOKUP($U$296,'TAR FIN'!$A$1:$O$85,15,0))</f>
        <v>121.88</v>
      </c>
      <c r="Y296" s="6"/>
      <c r="Z296" s="6">
        <f ca="1">('TUSD BE'!$AM$50+'TUSD BF'!$AM$50+'TUSD CVA'!$AM$50)*1</f>
        <v>266.91073950086047</v>
      </c>
      <c r="AA296" s="6">
        <f>('TE BE'!$AB$41+'TE BF'!$AB$41+'TE CVA'!$AB$41)*1</f>
        <v>148.06516683091314</v>
      </c>
      <c r="AB296" s="6">
        <f>$K$296*$V$296</f>
        <v>0</v>
      </c>
      <c r="AC296" s="6">
        <f>$M$296*$W$296</f>
        <v>10850.373</v>
      </c>
      <c r="AD296" s="6">
        <f>$O$296*$X$296</f>
        <v>5201.35088</v>
      </c>
      <c r="AE296" s="6">
        <f>$K$296*$Y$296</f>
        <v>0</v>
      </c>
      <c r="AF296" s="6">
        <f ca="1">$M$296*$Z$296</f>
        <v>11390.682718938722</v>
      </c>
      <c r="AG296" s="6">
        <f>$O$296*$AA$296</f>
        <v>6318.8290596760498</v>
      </c>
    </row>
    <row r="297" spans="1:33" ht="11.25" customHeight="1" x14ac:dyDescent="0.3">
      <c r="A297" s="4" t="s">
        <v>21</v>
      </c>
      <c r="B297" s="4" t="s">
        <v>44</v>
      </c>
      <c r="C297" s="4" t="s">
        <v>23</v>
      </c>
      <c r="D297" s="4" t="s">
        <v>45</v>
      </c>
      <c r="E297" s="4" t="s">
        <v>46</v>
      </c>
      <c r="F297" s="4" t="s">
        <v>25</v>
      </c>
      <c r="G297" s="4" t="s">
        <v>25</v>
      </c>
      <c r="H297" s="4" t="s">
        <v>25</v>
      </c>
      <c r="I297" s="5">
        <v>44682</v>
      </c>
      <c r="J297" s="6">
        <v>0</v>
      </c>
      <c r="K297" s="6">
        <v>0</v>
      </c>
      <c r="L297" s="6">
        <v>46.963999999999999</v>
      </c>
      <c r="M297" s="6">
        <v>46.963999999999999</v>
      </c>
      <c r="N297" s="6">
        <v>46.963999999999999</v>
      </c>
      <c r="O297" s="6">
        <v>46.963999999999999</v>
      </c>
      <c r="P297" s="6">
        <v>3</v>
      </c>
      <c r="Q297" s="4" t="s">
        <v>26</v>
      </c>
      <c r="R297" s="4">
        <v>0</v>
      </c>
      <c r="S297" s="6">
        <v>0</v>
      </c>
      <c r="T297" s="6">
        <v>67</v>
      </c>
      <c r="U297" s="6">
        <v>7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254.25</v>
      </c>
      <c r="X297" s="6">
        <f>IF(ISERROR(VLOOKUP($U$297,'TAR FIN'!$A$1:$O$85,15,0)),0,VLOOKUP($U$297,'TAR FIN'!$A$1:$O$85,15,0))</f>
        <v>121.88</v>
      </c>
      <c r="Y297" s="6"/>
      <c r="Z297" s="6">
        <f ca="1">('TUSD BE'!$AM$50+'TUSD BF'!$AM$50+'TUSD CVA'!$AM$50)*1</f>
        <v>266.91073950086047</v>
      </c>
      <c r="AA297" s="6">
        <f>('TE BE'!$AB$41+'TE BF'!$AB$41+'TE CVA'!$AB$41)*1</f>
        <v>148.06516683091314</v>
      </c>
      <c r="AB297" s="6">
        <f>$K$297*$V$297</f>
        <v>0</v>
      </c>
      <c r="AC297" s="6">
        <f>$M$297*$W$297</f>
        <v>11940.597</v>
      </c>
      <c r="AD297" s="6">
        <f>$O$297*$X$297</f>
        <v>5723.9723199999999</v>
      </c>
      <c r="AE297" s="6">
        <f>$K$297*$Y$297</f>
        <v>0</v>
      </c>
      <c r="AF297" s="6">
        <f ca="1">$M$297*$Z$297</f>
        <v>12535.195969918412</v>
      </c>
      <c r="AG297" s="6">
        <f>$O$297*$AA$297</f>
        <v>6953.7324950470047</v>
      </c>
    </row>
    <row r="298" spans="1:33" ht="11.25" customHeight="1" x14ac:dyDescent="0.3">
      <c r="A298" s="4" t="s">
        <v>21</v>
      </c>
      <c r="B298" s="4" t="s">
        <v>44</v>
      </c>
      <c r="C298" s="4" t="s">
        <v>23</v>
      </c>
      <c r="D298" s="4" t="s">
        <v>45</v>
      </c>
      <c r="E298" s="4" t="s">
        <v>46</v>
      </c>
      <c r="F298" s="4" t="s">
        <v>25</v>
      </c>
      <c r="G298" s="4" t="s">
        <v>25</v>
      </c>
      <c r="H298" s="4" t="s">
        <v>25</v>
      </c>
      <c r="I298" s="5">
        <v>44713</v>
      </c>
      <c r="J298" s="6">
        <v>0</v>
      </c>
      <c r="K298" s="6">
        <v>0</v>
      </c>
      <c r="L298" s="6">
        <v>45.448</v>
      </c>
      <c r="M298" s="6">
        <v>45.448</v>
      </c>
      <c r="N298" s="6">
        <v>45.448</v>
      </c>
      <c r="O298" s="6">
        <v>45.448</v>
      </c>
      <c r="P298" s="6">
        <v>3</v>
      </c>
      <c r="Q298" s="4" t="s">
        <v>26</v>
      </c>
      <c r="R298" s="4">
        <v>0</v>
      </c>
      <c r="S298" s="6">
        <v>0</v>
      </c>
      <c r="T298" s="6">
        <v>67</v>
      </c>
      <c r="U298" s="6">
        <v>7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254.25</v>
      </c>
      <c r="X298" s="6">
        <f>IF(ISERROR(VLOOKUP($U$298,'TAR FIN'!$A$1:$O$85,15,0)),0,VLOOKUP($U$298,'TAR FIN'!$A$1:$O$85,15,0))</f>
        <v>121.88</v>
      </c>
      <c r="Y298" s="6"/>
      <c r="Z298" s="6">
        <f ca="1">('TUSD BE'!$AM$50+'TUSD BF'!$AM$50+'TUSD CVA'!$AM$50)*1</f>
        <v>266.91073950086047</v>
      </c>
      <c r="AA298" s="6">
        <f>('TE BE'!$AB$41+'TE BF'!$AB$41+'TE CVA'!$AB$41)*1</f>
        <v>148.06516683091314</v>
      </c>
      <c r="AB298" s="6">
        <f>$K$298*$V$298</f>
        <v>0</v>
      </c>
      <c r="AC298" s="6">
        <f>$M$298*$W$298</f>
        <v>11555.154</v>
      </c>
      <c r="AD298" s="6">
        <f>$O$298*$X$298</f>
        <v>5539.2022399999996</v>
      </c>
      <c r="AE298" s="6">
        <f>$K$298*$Y$298</f>
        <v>0</v>
      </c>
      <c r="AF298" s="6">
        <f ca="1">$M$298*$Z$298</f>
        <v>12130.559288835108</v>
      </c>
      <c r="AG298" s="6">
        <f>$O$298*$AA$298</f>
        <v>6729.2657021313407</v>
      </c>
    </row>
    <row r="299" spans="1:33" ht="11.25" customHeight="1" x14ac:dyDescent="0.3">
      <c r="A299" s="4" t="s">
        <v>21</v>
      </c>
      <c r="B299" s="4" t="s">
        <v>44</v>
      </c>
      <c r="C299" s="4" t="s">
        <v>23</v>
      </c>
      <c r="D299" s="4" t="s">
        <v>45</v>
      </c>
      <c r="E299" s="4" t="s">
        <v>46</v>
      </c>
      <c r="F299" s="4" t="s">
        <v>25</v>
      </c>
      <c r="G299" s="4" t="s">
        <v>25</v>
      </c>
      <c r="H299" s="4" t="s">
        <v>25</v>
      </c>
      <c r="I299" s="5">
        <v>44743</v>
      </c>
      <c r="J299" s="6">
        <v>0</v>
      </c>
      <c r="K299" s="6">
        <v>0</v>
      </c>
      <c r="L299" s="6">
        <v>46.963999999999999</v>
      </c>
      <c r="M299" s="6">
        <v>46.963999999999999</v>
      </c>
      <c r="N299" s="6">
        <v>46.963999999999999</v>
      </c>
      <c r="O299" s="6">
        <v>46.963999999999999</v>
      </c>
      <c r="P299" s="6">
        <v>3</v>
      </c>
      <c r="Q299" s="4" t="s">
        <v>26</v>
      </c>
      <c r="R299" s="4">
        <v>0</v>
      </c>
      <c r="S299" s="6">
        <v>0</v>
      </c>
      <c r="T299" s="6">
        <v>67</v>
      </c>
      <c r="U299" s="6">
        <v>7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254.25</v>
      </c>
      <c r="X299" s="6">
        <f>IF(ISERROR(VLOOKUP($U$299,'TAR FIN'!$A$1:$O$85,15,0)),0,VLOOKUP($U$299,'TAR FIN'!$A$1:$O$85,15,0))</f>
        <v>121.88</v>
      </c>
      <c r="Y299" s="6"/>
      <c r="Z299" s="6">
        <f ca="1">('TUSD BE'!$AM$50+'TUSD BF'!$AM$50+'TUSD CVA'!$AM$50)*1</f>
        <v>266.91073950086047</v>
      </c>
      <c r="AA299" s="6">
        <f>('TE BE'!$AB$41+'TE BF'!$AB$41+'TE CVA'!$AB$41)*1</f>
        <v>148.06516683091314</v>
      </c>
      <c r="AB299" s="6">
        <f>$K$299*$V$299</f>
        <v>0</v>
      </c>
      <c r="AC299" s="6">
        <f>$M$299*$W$299</f>
        <v>11940.597</v>
      </c>
      <c r="AD299" s="6">
        <f>$O$299*$X$299</f>
        <v>5723.9723199999999</v>
      </c>
      <c r="AE299" s="6">
        <f>$K$299*$Y$299</f>
        <v>0</v>
      </c>
      <c r="AF299" s="6">
        <f ca="1">$M$299*$Z$299</f>
        <v>12535.195969918412</v>
      </c>
      <c r="AG299" s="6">
        <f>$O$299*$AA$299</f>
        <v>6953.7324950470047</v>
      </c>
    </row>
    <row r="300" spans="1:33" ht="11.25" customHeight="1" x14ac:dyDescent="0.3">
      <c r="A300" s="4" t="s">
        <v>21</v>
      </c>
      <c r="B300" s="4" t="s">
        <v>44</v>
      </c>
      <c r="C300" s="4" t="s">
        <v>23</v>
      </c>
      <c r="D300" s="4" t="s">
        <v>45</v>
      </c>
      <c r="E300" s="4" t="s">
        <v>46</v>
      </c>
      <c r="F300" s="4" t="s">
        <v>25</v>
      </c>
      <c r="G300" s="4" t="s">
        <v>25</v>
      </c>
      <c r="H300" s="4" t="s">
        <v>25</v>
      </c>
      <c r="I300" s="5">
        <v>44774</v>
      </c>
      <c r="J300" s="6">
        <v>0</v>
      </c>
      <c r="K300" s="6">
        <v>0</v>
      </c>
      <c r="L300" s="6">
        <v>46.963999999999999</v>
      </c>
      <c r="M300" s="6">
        <v>46.963999999999999</v>
      </c>
      <c r="N300" s="6">
        <v>46.963999999999999</v>
      </c>
      <c r="O300" s="6">
        <v>46.963999999999999</v>
      </c>
      <c r="P300" s="6">
        <v>3</v>
      </c>
      <c r="Q300" s="4" t="s">
        <v>26</v>
      </c>
      <c r="R300" s="4">
        <v>0</v>
      </c>
      <c r="S300" s="6">
        <v>0</v>
      </c>
      <c r="T300" s="6">
        <v>67</v>
      </c>
      <c r="U300" s="6">
        <v>7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254.25</v>
      </c>
      <c r="X300" s="6">
        <f>IF(ISERROR(VLOOKUP($U$300,'TAR FIN'!$A$1:$O$85,15,0)),0,VLOOKUP($U$300,'TAR FIN'!$A$1:$O$85,15,0))</f>
        <v>121.88</v>
      </c>
      <c r="Y300" s="6"/>
      <c r="Z300" s="6">
        <f ca="1">('TUSD BE'!$AM$50+'TUSD BF'!$AM$50+'TUSD CVA'!$AM$50)*1</f>
        <v>266.91073950086047</v>
      </c>
      <c r="AA300" s="6">
        <f>('TE BE'!$AB$41+'TE BF'!$AB$41+'TE CVA'!$AB$41)*1</f>
        <v>148.06516683091314</v>
      </c>
      <c r="AB300" s="6">
        <f>$K$300*$V$300</f>
        <v>0</v>
      </c>
      <c r="AC300" s="6">
        <f>$M$300*$W$300</f>
        <v>11940.597</v>
      </c>
      <c r="AD300" s="6">
        <f>$O$300*$X$300</f>
        <v>5723.9723199999999</v>
      </c>
      <c r="AE300" s="6">
        <f>$K$300*$Y$300</f>
        <v>0</v>
      </c>
      <c r="AF300" s="6">
        <f ca="1">$M$300*$Z$300</f>
        <v>12535.195969918412</v>
      </c>
      <c r="AG300" s="6">
        <f>$O$300*$AA$300</f>
        <v>6953.7324950470047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A683-DE6D-40C6-9A18-A340C500A5ED}">
  <dimension ref="A1:AJ301"/>
  <sheetViews>
    <sheetView showGridLines="0" topLeftCell="AC1" workbookViewId="0">
      <selection activeCell="AJ13" sqref="AJ13"/>
    </sheetView>
  </sheetViews>
  <sheetFormatPr defaultRowHeight="11.25" customHeight="1" x14ac:dyDescent="0.3"/>
  <cols>
    <col min="1" max="1" width="18.5546875" style="4" bestFit="1" customWidth="1"/>
    <col min="2" max="2" width="12.88671875" style="4" bestFit="1" customWidth="1"/>
    <col min="3" max="3" width="14.109375" style="4" bestFit="1" customWidth="1"/>
    <col min="4" max="4" width="11.21875" style="4" bestFit="1" customWidth="1"/>
    <col min="5" max="5" width="24.44140625" style="4" bestFit="1" customWidth="1"/>
    <col min="6" max="6" width="12.88671875" style="4" bestFit="1" customWidth="1"/>
    <col min="7" max="7" width="11" style="4" bestFit="1" customWidth="1"/>
    <col min="8" max="8" width="10" style="4" bestFit="1" customWidth="1"/>
    <col min="9" max="9" width="11.77734375" style="5" bestFit="1" customWidth="1"/>
    <col min="10" max="10" width="6.77734375" style="6" bestFit="1" customWidth="1"/>
    <col min="11" max="11" width="7.6640625" style="6" bestFit="1" customWidth="1"/>
    <col min="12" max="12" width="11" style="6" bestFit="1" customWidth="1"/>
    <col min="13" max="13" width="12.21875" style="6" bestFit="1" customWidth="1"/>
    <col min="14" max="14" width="8.88671875" style="6" bestFit="1" customWidth="1"/>
    <col min="15" max="15" width="10.109375" style="6" bestFit="1" customWidth="1"/>
    <col min="16" max="16" width="7.44140625" style="6" bestFit="1" customWidth="1"/>
    <col min="17" max="17" width="10.77734375" style="4" bestFit="1" customWidth="1"/>
    <col min="18" max="18" width="12.77734375" style="4" bestFit="1" customWidth="1"/>
    <col min="19" max="19" width="22.33203125" style="4" bestFit="1" customWidth="1"/>
    <col min="20" max="20" width="23.77734375" style="4" bestFit="1" customWidth="1"/>
    <col min="21" max="21" width="21.6640625" style="4" bestFit="1" customWidth="1"/>
    <col min="22" max="22" width="15.44140625" style="4" bestFit="1" customWidth="1"/>
    <col min="23" max="23" width="16.77734375" style="4" bestFit="1" customWidth="1"/>
    <col min="24" max="24" width="14.6640625" style="4" bestFit="1" customWidth="1"/>
    <col min="25" max="25" width="20.21875" style="4" bestFit="1" customWidth="1"/>
    <col min="26" max="26" width="21.77734375" style="4" bestFit="1" customWidth="1"/>
    <col min="27" max="27" width="19.5546875" style="4" bestFit="1" customWidth="1"/>
    <col min="28" max="28" width="18.5546875" style="4" bestFit="1" customWidth="1"/>
    <col min="29" max="29" width="20" style="4" bestFit="1" customWidth="1"/>
    <col min="30" max="30" width="18.44140625" style="4" bestFit="1" customWidth="1"/>
    <col min="31" max="31" width="19.88671875" style="4" bestFit="1" customWidth="1"/>
    <col min="32" max="32" width="31.6640625" style="4" bestFit="1" customWidth="1"/>
    <col min="33" max="33" width="8.88671875" style="4"/>
    <col min="34" max="34" width="31.6640625" style="4" bestFit="1" customWidth="1"/>
    <col min="35" max="35" width="8.44140625" style="4" bestFit="1" customWidth="1"/>
    <col min="36" max="36" width="9.6640625" style="4" bestFit="1" customWidth="1"/>
    <col min="37" max="16384" width="8.886718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H1" s="34" t="s">
        <v>595</v>
      </c>
      <c r="AI1" s="34" t="s">
        <v>600</v>
      </c>
      <c r="AJ1" s="34" t="s">
        <v>601</v>
      </c>
    </row>
    <row r="2" spans="1:36" ht="11.25" customHeight="1" x14ac:dyDescent="0.3">
      <c r="A2" s="4" t="s">
        <v>21</v>
      </c>
      <c r="B2" s="4" t="s">
        <v>38</v>
      </c>
      <c r="C2" s="4" t="s">
        <v>39</v>
      </c>
      <c r="D2" s="4" t="s">
        <v>49</v>
      </c>
      <c r="E2" s="4" t="s">
        <v>25</v>
      </c>
      <c r="F2" s="4" t="s">
        <v>50</v>
      </c>
      <c r="G2" s="4" t="s">
        <v>25</v>
      </c>
      <c r="H2" s="4" t="s">
        <v>34</v>
      </c>
      <c r="I2" s="5">
        <v>44440</v>
      </c>
      <c r="J2" s="6">
        <v>0</v>
      </c>
      <c r="K2" s="6">
        <v>0</v>
      </c>
      <c r="L2" s="6">
        <v>794.00699999999995</v>
      </c>
      <c r="M2" s="6">
        <v>794.00699999999995</v>
      </c>
      <c r="N2" s="6">
        <v>0</v>
      </c>
      <c r="O2" s="6">
        <v>0</v>
      </c>
      <c r="P2" s="6">
        <v>0</v>
      </c>
      <c r="Q2" s="4" t="s">
        <v>51</v>
      </c>
      <c r="R2" s="4">
        <v>0</v>
      </c>
      <c r="S2" s="4">
        <v>0</v>
      </c>
      <c r="T2" s="4">
        <v>40</v>
      </c>
      <c r="U2" s="4">
        <v>0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93.48</v>
      </c>
      <c r="X2" s="6">
        <f>IF(ISERROR(VLOOKUP($U$2,'TAR FIN'!$A$1:$O$85,15,0)),0,VLOOKUP($U$2,'TAR FIN'!$A$1:$O$85,15,0))</f>
        <v>0</v>
      </c>
      <c r="Y2" s="6"/>
      <c r="Z2" s="6">
        <f ca="1">('TUSD BE'!$AM$12+'TUSD BF'!$AM$12+'TUSD CVA'!$AM$12)*1</f>
        <v>126.58207043299907</v>
      </c>
      <c r="AA2" s="6"/>
      <c r="AB2" s="6">
        <f t="shared" ref="AB2:AB33" si="0">(J2-K2)*V2</f>
        <v>0</v>
      </c>
      <c r="AC2" s="6">
        <f t="shared" ref="AC2:AC33" si="1">(L2-M2)*W2+(N2-O2)*X2</f>
        <v>0</v>
      </c>
      <c r="AD2" s="6">
        <f t="shared" ref="AD2:AD33" si="2">(J2-K2)*Y2</f>
        <v>0</v>
      </c>
      <c r="AE2" s="6">
        <f t="shared" ref="AE2:AE33" ca="1" si="3">(L2-M2)*Z2+(N2-O2)*AA2</f>
        <v>0</v>
      </c>
      <c r="AF2" s="4" t="s">
        <v>596</v>
      </c>
      <c r="AH2" s="35" t="s">
        <v>596</v>
      </c>
      <c r="AI2" s="36">
        <f t="shared" ref="AI2:AI9" si="4">SUMIF($AF$2:$AF$301,AH2,$AB$2:$AB$301)+SUMIF($AF$2:$AF$301,AH2,$AC$2:$AC$301)</f>
        <v>921076.01467522187</v>
      </c>
      <c r="AJ2" s="36">
        <f t="shared" ref="AJ2:AJ9" ca="1" si="5">SUMIF($AF$2:$AF$301,AH2,$AD$2:$AD$301)+SUMIF($AF$2:$AF$301,AH2,$AE$2:$AE$301)</f>
        <v>981589.01383372699</v>
      </c>
    </row>
    <row r="3" spans="1:36" ht="11.25" customHeight="1" x14ac:dyDescent="0.3">
      <c r="A3" s="4" t="s">
        <v>21</v>
      </c>
      <c r="B3" s="4" t="s">
        <v>38</v>
      </c>
      <c r="C3" s="4" t="s">
        <v>39</v>
      </c>
      <c r="D3" s="4" t="s">
        <v>49</v>
      </c>
      <c r="E3" s="4" t="s">
        <v>25</v>
      </c>
      <c r="F3" s="4" t="s">
        <v>50</v>
      </c>
      <c r="G3" s="4" t="s">
        <v>25</v>
      </c>
      <c r="H3" s="4" t="s">
        <v>34</v>
      </c>
      <c r="I3" s="5">
        <v>44470</v>
      </c>
      <c r="J3" s="6">
        <v>0</v>
      </c>
      <c r="K3" s="6">
        <v>0</v>
      </c>
      <c r="L3" s="6">
        <v>755.34</v>
      </c>
      <c r="M3" s="6">
        <v>755.34</v>
      </c>
      <c r="N3" s="6">
        <v>0</v>
      </c>
      <c r="O3" s="6">
        <v>0</v>
      </c>
      <c r="P3" s="6">
        <v>0</v>
      </c>
      <c r="Q3" s="4" t="s">
        <v>51</v>
      </c>
      <c r="R3" s="4">
        <v>0</v>
      </c>
      <c r="S3" s="4">
        <v>0</v>
      </c>
      <c r="T3" s="4">
        <v>40</v>
      </c>
      <c r="U3" s="4">
        <v>0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93.48</v>
      </c>
      <c r="X3" s="6">
        <f>IF(ISERROR(VLOOKUP($U$3,'TAR FIN'!$A$1:$O$85,15,0)),0,VLOOKUP($U$3,'TAR FIN'!$A$1:$O$85,15,0))</f>
        <v>0</v>
      </c>
      <c r="Y3" s="6"/>
      <c r="Z3" s="6">
        <f ca="1">('TUSD BE'!$AM$12+'TUSD BF'!$AM$12+'TUSD CVA'!$AM$12)*1</f>
        <v>126.58207043299907</v>
      </c>
      <c r="AA3" s="6"/>
      <c r="AB3" s="6">
        <f t="shared" si="0"/>
        <v>0</v>
      </c>
      <c r="AC3" s="6">
        <f t="shared" si="1"/>
        <v>0</v>
      </c>
      <c r="AD3" s="6">
        <f t="shared" si="2"/>
        <v>0</v>
      </c>
      <c r="AE3" s="6">
        <f t="shared" ca="1" si="3"/>
        <v>0</v>
      </c>
      <c r="AF3" s="4" t="s">
        <v>596</v>
      </c>
      <c r="AH3" s="35" t="s">
        <v>602</v>
      </c>
      <c r="AI3" s="36">
        <f t="shared" si="4"/>
        <v>0</v>
      </c>
      <c r="AJ3" s="36">
        <f t="shared" si="5"/>
        <v>0</v>
      </c>
    </row>
    <row r="4" spans="1:36" ht="11.25" customHeight="1" x14ac:dyDescent="0.3">
      <c r="A4" s="4" t="s">
        <v>21</v>
      </c>
      <c r="B4" s="4" t="s">
        <v>38</v>
      </c>
      <c r="C4" s="4" t="s">
        <v>39</v>
      </c>
      <c r="D4" s="4" t="s">
        <v>49</v>
      </c>
      <c r="E4" s="4" t="s">
        <v>25</v>
      </c>
      <c r="F4" s="4" t="s">
        <v>50</v>
      </c>
      <c r="G4" s="4" t="s">
        <v>25</v>
      </c>
      <c r="H4" s="4" t="s">
        <v>34</v>
      </c>
      <c r="I4" s="5">
        <v>44501</v>
      </c>
      <c r="J4" s="6">
        <v>0</v>
      </c>
      <c r="K4" s="6">
        <v>0</v>
      </c>
      <c r="L4" s="6">
        <v>779.74400000000003</v>
      </c>
      <c r="M4" s="6">
        <v>779.74400000000003</v>
      </c>
      <c r="N4" s="6">
        <v>0</v>
      </c>
      <c r="O4" s="6">
        <v>0</v>
      </c>
      <c r="P4" s="6">
        <v>0</v>
      </c>
      <c r="Q4" s="4" t="s">
        <v>51</v>
      </c>
      <c r="R4" s="4">
        <v>0</v>
      </c>
      <c r="S4" s="4">
        <v>0</v>
      </c>
      <c r="T4" s="4">
        <v>40</v>
      </c>
      <c r="U4" s="4">
        <v>0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93.48</v>
      </c>
      <c r="X4" s="6">
        <f>IF(ISERROR(VLOOKUP($U$4,'TAR FIN'!$A$1:$O$85,15,0)),0,VLOOKUP($U$4,'TAR FIN'!$A$1:$O$85,15,0))</f>
        <v>0</v>
      </c>
      <c r="Y4" s="6"/>
      <c r="Z4" s="6">
        <f ca="1">('TUSD BE'!$AM$12+'TUSD BF'!$AM$12+'TUSD CVA'!$AM$12)*1</f>
        <v>126.58207043299907</v>
      </c>
      <c r="AA4" s="6"/>
      <c r="AB4" s="6">
        <f t="shared" si="0"/>
        <v>0</v>
      </c>
      <c r="AC4" s="6">
        <f t="shared" si="1"/>
        <v>0</v>
      </c>
      <c r="AD4" s="6">
        <f t="shared" si="2"/>
        <v>0</v>
      </c>
      <c r="AE4" s="6">
        <f t="shared" ca="1" si="3"/>
        <v>0</v>
      </c>
      <c r="AF4" s="4" t="s">
        <v>596</v>
      </c>
      <c r="AH4" s="35" t="s">
        <v>603</v>
      </c>
      <c r="AI4" s="36">
        <f t="shared" si="4"/>
        <v>0</v>
      </c>
      <c r="AJ4" s="36">
        <f t="shared" si="5"/>
        <v>0</v>
      </c>
    </row>
    <row r="5" spans="1:36" ht="11.25" customHeight="1" x14ac:dyDescent="0.3">
      <c r="A5" s="4" t="s">
        <v>21</v>
      </c>
      <c r="B5" s="4" t="s">
        <v>38</v>
      </c>
      <c r="C5" s="4" t="s">
        <v>39</v>
      </c>
      <c r="D5" s="4" t="s">
        <v>49</v>
      </c>
      <c r="E5" s="4" t="s">
        <v>25</v>
      </c>
      <c r="F5" s="4" t="s">
        <v>50</v>
      </c>
      <c r="G5" s="4" t="s">
        <v>25</v>
      </c>
      <c r="H5" s="4" t="s">
        <v>34</v>
      </c>
      <c r="I5" s="5">
        <v>44531</v>
      </c>
      <c r="J5" s="6">
        <v>0</v>
      </c>
      <c r="K5" s="6">
        <v>0</v>
      </c>
      <c r="L5" s="6">
        <v>868.61800000000005</v>
      </c>
      <c r="M5" s="6">
        <v>868.61800000000005</v>
      </c>
      <c r="N5" s="6">
        <v>0</v>
      </c>
      <c r="O5" s="6">
        <v>0</v>
      </c>
      <c r="P5" s="6">
        <v>0</v>
      </c>
      <c r="Q5" s="4" t="s">
        <v>51</v>
      </c>
      <c r="R5" s="4">
        <v>0</v>
      </c>
      <c r="S5" s="4">
        <v>0</v>
      </c>
      <c r="T5" s="4">
        <v>40</v>
      </c>
      <c r="U5" s="4">
        <v>0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93.48</v>
      </c>
      <c r="X5" s="6">
        <f>IF(ISERROR(VLOOKUP($U$5,'TAR FIN'!$A$1:$O$85,15,0)),0,VLOOKUP($U$5,'TAR FIN'!$A$1:$O$85,15,0))</f>
        <v>0</v>
      </c>
      <c r="Y5" s="6"/>
      <c r="Z5" s="6">
        <f ca="1">('TUSD BE'!$AM$12+'TUSD BF'!$AM$12+'TUSD CVA'!$AM$12)*1</f>
        <v>126.58207043299907</v>
      </c>
      <c r="AA5" s="6"/>
      <c r="AB5" s="6">
        <f t="shared" si="0"/>
        <v>0</v>
      </c>
      <c r="AC5" s="6">
        <f t="shared" si="1"/>
        <v>0</v>
      </c>
      <c r="AD5" s="6">
        <f t="shared" si="2"/>
        <v>0</v>
      </c>
      <c r="AE5" s="6">
        <f t="shared" ca="1" si="3"/>
        <v>0</v>
      </c>
      <c r="AF5" s="4" t="s">
        <v>596</v>
      </c>
      <c r="AH5" s="35" t="s">
        <v>597</v>
      </c>
      <c r="AI5" s="36">
        <f t="shared" si="4"/>
        <v>114218.58366480001</v>
      </c>
      <c r="AJ5" s="36">
        <f t="shared" ca="1" si="5"/>
        <v>65860.872533711139</v>
      </c>
    </row>
    <row r="6" spans="1:36" ht="11.25" customHeight="1" x14ac:dyDescent="0.3">
      <c r="A6" s="4" t="s">
        <v>21</v>
      </c>
      <c r="B6" s="4" t="s">
        <v>38</v>
      </c>
      <c r="C6" s="4" t="s">
        <v>39</v>
      </c>
      <c r="D6" s="4" t="s">
        <v>49</v>
      </c>
      <c r="E6" s="4" t="s">
        <v>25</v>
      </c>
      <c r="F6" s="4" t="s">
        <v>50</v>
      </c>
      <c r="G6" s="4" t="s">
        <v>25</v>
      </c>
      <c r="H6" s="4" t="s">
        <v>34</v>
      </c>
      <c r="I6" s="5">
        <v>44562</v>
      </c>
      <c r="J6" s="6">
        <v>0</v>
      </c>
      <c r="K6" s="6">
        <v>0</v>
      </c>
      <c r="L6" s="6">
        <v>868.58399999999995</v>
      </c>
      <c r="M6" s="6">
        <v>868.58399999999995</v>
      </c>
      <c r="N6" s="6">
        <v>0</v>
      </c>
      <c r="O6" s="6">
        <v>0</v>
      </c>
      <c r="P6" s="6">
        <v>0</v>
      </c>
      <c r="Q6" s="4" t="s">
        <v>51</v>
      </c>
      <c r="R6" s="4">
        <v>0</v>
      </c>
      <c r="S6" s="4">
        <v>0</v>
      </c>
      <c r="T6" s="4">
        <v>40</v>
      </c>
      <c r="U6" s="4">
        <v>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93.48</v>
      </c>
      <c r="X6" s="6">
        <f>IF(ISERROR(VLOOKUP($U$6,'TAR FIN'!$A$1:$O$85,15,0)),0,VLOOKUP($U$6,'TAR FIN'!$A$1:$O$85,15,0))</f>
        <v>0</v>
      </c>
      <c r="Y6" s="6"/>
      <c r="Z6" s="6">
        <f ca="1">('TUSD BE'!$AM$12+'TUSD BF'!$AM$12+'TUSD CVA'!$AM$12)*1</f>
        <v>126.58207043299907</v>
      </c>
      <c r="AA6" s="6"/>
      <c r="AB6" s="6">
        <f t="shared" si="0"/>
        <v>0</v>
      </c>
      <c r="AC6" s="6">
        <f t="shared" si="1"/>
        <v>0</v>
      </c>
      <c r="AD6" s="6">
        <f t="shared" si="2"/>
        <v>0</v>
      </c>
      <c r="AE6" s="6">
        <f t="shared" ca="1" si="3"/>
        <v>0</v>
      </c>
      <c r="AF6" s="4" t="s">
        <v>596</v>
      </c>
      <c r="AH6" s="35" t="s">
        <v>599</v>
      </c>
      <c r="AI6" s="36">
        <f t="shared" si="4"/>
        <v>113582.17168999999</v>
      </c>
      <c r="AJ6" s="36">
        <f t="shared" ca="1" si="5"/>
        <v>62652.322926356268</v>
      </c>
    </row>
    <row r="7" spans="1:36" ht="11.25" customHeight="1" x14ac:dyDescent="0.3">
      <c r="A7" s="4" t="s">
        <v>21</v>
      </c>
      <c r="B7" s="4" t="s">
        <v>38</v>
      </c>
      <c r="C7" s="4" t="s">
        <v>39</v>
      </c>
      <c r="D7" s="4" t="s">
        <v>49</v>
      </c>
      <c r="E7" s="4" t="s">
        <v>25</v>
      </c>
      <c r="F7" s="4" t="s">
        <v>50</v>
      </c>
      <c r="G7" s="4" t="s">
        <v>25</v>
      </c>
      <c r="H7" s="4" t="s">
        <v>34</v>
      </c>
      <c r="I7" s="5">
        <v>44593</v>
      </c>
      <c r="J7" s="6">
        <v>0</v>
      </c>
      <c r="K7" s="6">
        <v>0</v>
      </c>
      <c r="L7" s="6">
        <v>819.54899999999998</v>
      </c>
      <c r="M7" s="6">
        <v>819.54899999999998</v>
      </c>
      <c r="N7" s="6">
        <v>0</v>
      </c>
      <c r="O7" s="6">
        <v>0</v>
      </c>
      <c r="P7" s="6">
        <v>0</v>
      </c>
      <c r="Q7" s="4" t="s">
        <v>51</v>
      </c>
      <c r="R7" s="4">
        <v>0</v>
      </c>
      <c r="S7" s="4">
        <v>0</v>
      </c>
      <c r="T7" s="4">
        <v>40</v>
      </c>
      <c r="U7" s="4">
        <v>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93.48</v>
      </c>
      <c r="X7" s="6">
        <f>IF(ISERROR(VLOOKUP($U$7,'TAR FIN'!$A$1:$O$85,15,0)),0,VLOOKUP($U$7,'TAR FIN'!$A$1:$O$85,15,0))</f>
        <v>0</v>
      </c>
      <c r="Y7" s="6"/>
      <c r="Z7" s="6">
        <f ca="1">('TUSD BE'!$AM$12+'TUSD BF'!$AM$12+'TUSD CVA'!$AM$12)*1</f>
        <v>126.58207043299907</v>
      </c>
      <c r="AA7" s="6"/>
      <c r="AB7" s="6">
        <f t="shared" si="0"/>
        <v>0</v>
      </c>
      <c r="AC7" s="6">
        <f t="shared" si="1"/>
        <v>0</v>
      </c>
      <c r="AD7" s="6">
        <f t="shared" si="2"/>
        <v>0</v>
      </c>
      <c r="AE7" s="6">
        <f t="shared" ca="1" si="3"/>
        <v>0</v>
      </c>
      <c r="AF7" s="4" t="s">
        <v>596</v>
      </c>
      <c r="AH7" s="35" t="s">
        <v>604</v>
      </c>
      <c r="AI7" s="36">
        <f t="shared" si="4"/>
        <v>0</v>
      </c>
      <c r="AJ7" s="36">
        <f t="shared" si="5"/>
        <v>0</v>
      </c>
    </row>
    <row r="8" spans="1:36" ht="11.25" customHeight="1" x14ac:dyDescent="0.3">
      <c r="A8" s="4" t="s">
        <v>21</v>
      </c>
      <c r="B8" s="4" t="s">
        <v>38</v>
      </c>
      <c r="C8" s="4" t="s">
        <v>39</v>
      </c>
      <c r="D8" s="4" t="s">
        <v>49</v>
      </c>
      <c r="E8" s="4" t="s">
        <v>25</v>
      </c>
      <c r="F8" s="4" t="s">
        <v>50</v>
      </c>
      <c r="G8" s="4" t="s">
        <v>25</v>
      </c>
      <c r="H8" s="4" t="s">
        <v>34</v>
      </c>
      <c r="I8" s="5">
        <v>44621</v>
      </c>
      <c r="J8" s="6">
        <v>0</v>
      </c>
      <c r="K8" s="6">
        <v>0</v>
      </c>
      <c r="L8" s="6">
        <v>830.31600000000003</v>
      </c>
      <c r="M8" s="6">
        <v>830.31600000000003</v>
      </c>
      <c r="N8" s="6">
        <v>0</v>
      </c>
      <c r="O8" s="6">
        <v>0</v>
      </c>
      <c r="P8" s="6">
        <v>0</v>
      </c>
      <c r="Q8" s="4" t="s">
        <v>51</v>
      </c>
      <c r="R8" s="4">
        <v>0</v>
      </c>
      <c r="S8" s="4">
        <v>0</v>
      </c>
      <c r="T8" s="4">
        <v>40</v>
      </c>
      <c r="U8" s="4">
        <v>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93.48</v>
      </c>
      <c r="X8" s="6">
        <f>IF(ISERROR(VLOOKUP($U$8,'TAR FIN'!$A$1:$O$85,15,0)),0,VLOOKUP($U$8,'TAR FIN'!$A$1:$O$85,15,0))</f>
        <v>0</v>
      </c>
      <c r="Y8" s="6"/>
      <c r="Z8" s="6">
        <f ca="1">('TUSD BE'!$AM$12+'TUSD BF'!$AM$12+'TUSD CVA'!$AM$12)*1</f>
        <v>126.58207043299907</v>
      </c>
      <c r="AA8" s="6"/>
      <c r="AB8" s="6">
        <f t="shared" si="0"/>
        <v>0</v>
      </c>
      <c r="AC8" s="6">
        <f t="shared" si="1"/>
        <v>0</v>
      </c>
      <c r="AD8" s="6">
        <f t="shared" si="2"/>
        <v>0</v>
      </c>
      <c r="AE8" s="6">
        <f t="shared" ca="1" si="3"/>
        <v>0</v>
      </c>
      <c r="AF8" s="4" t="s">
        <v>596</v>
      </c>
      <c r="AH8" s="35" t="s">
        <v>598</v>
      </c>
      <c r="AI8" s="36">
        <f t="shared" si="4"/>
        <v>50809.15292</v>
      </c>
      <c r="AJ8" s="36">
        <f t="shared" ca="1" si="5"/>
        <v>53525.289733100923</v>
      </c>
    </row>
    <row r="9" spans="1:36" ht="11.25" customHeight="1" x14ac:dyDescent="0.3">
      <c r="A9" s="4" t="s">
        <v>21</v>
      </c>
      <c r="B9" s="4" t="s">
        <v>38</v>
      </c>
      <c r="C9" s="4" t="s">
        <v>39</v>
      </c>
      <c r="D9" s="4" t="s">
        <v>49</v>
      </c>
      <c r="E9" s="4" t="s">
        <v>25</v>
      </c>
      <c r="F9" s="4" t="s">
        <v>50</v>
      </c>
      <c r="G9" s="4" t="s">
        <v>25</v>
      </c>
      <c r="H9" s="4" t="s">
        <v>34</v>
      </c>
      <c r="I9" s="5">
        <v>44652</v>
      </c>
      <c r="J9" s="6">
        <v>0</v>
      </c>
      <c r="K9" s="6">
        <v>0</v>
      </c>
      <c r="L9" s="6">
        <v>790.26300000000003</v>
      </c>
      <c r="M9" s="6">
        <v>790.26300000000003</v>
      </c>
      <c r="N9" s="6">
        <v>0</v>
      </c>
      <c r="O9" s="6">
        <v>0</v>
      </c>
      <c r="P9" s="6">
        <v>0</v>
      </c>
      <c r="Q9" s="4" t="s">
        <v>51</v>
      </c>
      <c r="R9" s="4">
        <v>0</v>
      </c>
      <c r="S9" s="4">
        <v>0</v>
      </c>
      <c r="T9" s="4">
        <v>40</v>
      </c>
      <c r="U9" s="4">
        <v>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93.48</v>
      </c>
      <c r="X9" s="6">
        <f>IF(ISERROR(VLOOKUP($U$9,'TAR FIN'!$A$1:$O$85,15,0)),0,VLOOKUP($U$9,'TAR FIN'!$A$1:$O$85,15,0))</f>
        <v>0</v>
      </c>
      <c r="Y9" s="6"/>
      <c r="Z9" s="6">
        <f ca="1">('TUSD BE'!$AM$12+'TUSD BF'!$AM$12+'TUSD CVA'!$AM$12)*1</f>
        <v>126.58207043299907</v>
      </c>
      <c r="AA9" s="6"/>
      <c r="AB9" s="6">
        <f t="shared" si="0"/>
        <v>0</v>
      </c>
      <c r="AC9" s="6">
        <f t="shared" si="1"/>
        <v>0</v>
      </c>
      <c r="AD9" s="6">
        <f t="shared" si="2"/>
        <v>0</v>
      </c>
      <c r="AE9" s="6">
        <f t="shared" ca="1" si="3"/>
        <v>0</v>
      </c>
      <c r="AF9" s="4" t="s">
        <v>596</v>
      </c>
      <c r="AH9" s="35" t="s">
        <v>605</v>
      </c>
      <c r="AI9" s="36">
        <f t="shared" si="4"/>
        <v>0</v>
      </c>
      <c r="AJ9" s="36">
        <f t="shared" si="5"/>
        <v>0</v>
      </c>
    </row>
    <row r="10" spans="1:36" ht="11.25" customHeight="1" x14ac:dyDescent="0.3">
      <c r="A10" s="4" t="s">
        <v>21</v>
      </c>
      <c r="B10" s="4" t="s">
        <v>38</v>
      </c>
      <c r="C10" s="4" t="s">
        <v>39</v>
      </c>
      <c r="D10" s="4" t="s">
        <v>49</v>
      </c>
      <c r="E10" s="4" t="s">
        <v>25</v>
      </c>
      <c r="F10" s="4" t="s">
        <v>50</v>
      </c>
      <c r="G10" s="4" t="s">
        <v>25</v>
      </c>
      <c r="H10" s="4" t="s">
        <v>34</v>
      </c>
      <c r="I10" s="5">
        <v>44682</v>
      </c>
      <c r="J10" s="6">
        <v>0</v>
      </c>
      <c r="K10" s="6">
        <v>0</v>
      </c>
      <c r="L10" s="6">
        <v>822.077</v>
      </c>
      <c r="M10" s="6">
        <v>822.077</v>
      </c>
      <c r="N10" s="6">
        <v>0</v>
      </c>
      <c r="O10" s="6">
        <v>0</v>
      </c>
      <c r="P10" s="6">
        <v>0</v>
      </c>
      <c r="Q10" s="4" t="s">
        <v>51</v>
      </c>
      <c r="R10" s="4">
        <v>0</v>
      </c>
      <c r="S10" s="4">
        <v>0</v>
      </c>
      <c r="T10" s="4">
        <v>40</v>
      </c>
      <c r="U10" s="4">
        <v>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93.48</v>
      </c>
      <c r="X10" s="6">
        <f>IF(ISERROR(VLOOKUP($U$10,'TAR FIN'!$A$1:$O$85,15,0)),0,VLOOKUP($U$10,'TAR FIN'!$A$1:$O$85,15,0))</f>
        <v>0</v>
      </c>
      <c r="Y10" s="6"/>
      <c r="Z10" s="6">
        <f ca="1">('TUSD BE'!$AM$12+'TUSD BF'!$AM$12+'TUSD CVA'!$AM$12)*1</f>
        <v>126.58207043299907</v>
      </c>
      <c r="AA10" s="6"/>
      <c r="AB10" s="6">
        <f t="shared" si="0"/>
        <v>0</v>
      </c>
      <c r="AC10" s="6">
        <f t="shared" si="1"/>
        <v>0</v>
      </c>
      <c r="AD10" s="6">
        <f t="shared" si="2"/>
        <v>0</v>
      </c>
      <c r="AE10" s="6">
        <f t="shared" ca="1" si="3"/>
        <v>0</v>
      </c>
      <c r="AF10" s="4" t="s">
        <v>596</v>
      </c>
    </row>
    <row r="11" spans="1:36" ht="11.25" customHeight="1" x14ac:dyDescent="0.3">
      <c r="A11" s="4" t="s">
        <v>21</v>
      </c>
      <c r="B11" s="4" t="s">
        <v>38</v>
      </c>
      <c r="C11" s="4" t="s">
        <v>39</v>
      </c>
      <c r="D11" s="4" t="s">
        <v>49</v>
      </c>
      <c r="E11" s="4" t="s">
        <v>25</v>
      </c>
      <c r="F11" s="4" t="s">
        <v>50</v>
      </c>
      <c r="G11" s="4" t="s">
        <v>25</v>
      </c>
      <c r="H11" s="4" t="s">
        <v>34</v>
      </c>
      <c r="I11" s="5">
        <v>44713</v>
      </c>
      <c r="J11" s="6">
        <v>0</v>
      </c>
      <c r="K11" s="6">
        <v>0</v>
      </c>
      <c r="L11" s="6">
        <v>778.07399999999996</v>
      </c>
      <c r="M11" s="6">
        <v>778.07399999999996</v>
      </c>
      <c r="N11" s="6">
        <v>0</v>
      </c>
      <c r="O11" s="6">
        <v>0</v>
      </c>
      <c r="P11" s="6">
        <v>0</v>
      </c>
      <c r="Q11" s="4" t="s">
        <v>51</v>
      </c>
      <c r="R11" s="4">
        <v>0</v>
      </c>
      <c r="S11" s="4">
        <v>0</v>
      </c>
      <c r="T11" s="4">
        <v>40</v>
      </c>
      <c r="U11" s="4">
        <v>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93.48</v>
      </c>
      <c r="X11" s="6">
        <f>IF(ISERROR(VLOOKUP($U$11,'TAR FIN'!$A$1:$O$85,15,0)),0,VLOOKUP($U$11,'TAR FIN'!$A$1:$O$85,15,0))</f>
        <v>0</v>
      </c>
      <c r="Y11" s="6"/>
      <c r="Z11" s="6">
        <f ca="1">('TUSD BE'!$AM$12+'TUSD BF'!$AM$12+'TUSD CVA'!$AM$12)*1</f>
        <v>126.58207043299907</v>
      </c>
      <c r="AA11" s="6"/>
      <c r="AB11" s="6">
        <f t="shared" si="0"/>
        <v>0</v>
      </c>
      <c r="AC11" s="6">
        <f t="shared" si="1"/>
        <v>0</v>
      </c>
      <c r="AD11" s="6">
        <f t="shared" si="2"/>
        <v>0</v>
      </c>
      <c r="AE11" s="6">
        <f t="shared" ca="1" si="3"/>
        <v>0</v>
      </c>
      <c r="AF11" s="4" t="s">
        <v>596</v>
      </c>
    </row>
    <row r="12" spans="1:36" ht="11.25" customHeight="1" x14ac:dyDescent="0.3">
      <c r="A12" s="4" t="s">
        <v>21</v>
      </c>
      <c r="B12" s="4" t="s">
        <v>38</v>
      </c>
      <c r="C12" s="4" t="s">
        <v>39</v>
      </c>
      <c r="D12" s="4" t="s">
        <v>49</v>
      </c>
      <c r="E12" s="4" t="s">
        <v>25</v>
      </c>
      <c r="F12" s="4" t="s">
        <v>50</v>
      </c>
      <c r="G12" s="4" t="s">
        <v>25</v>
      </c>
      <c r="H12" s="4" t="s">
        <v>34</v>
      </c>
      <c r="I12" s="5">
        <v>44743</v>
      </c>
      <c r="J12" s="6">
        <v>0</v>
      </c>
      <c r="K12" s="6">
        <v>0</v>
      </c>
      <c r="L12" s="6">
        <v>897.19799999999998</v>
      </c>
      <c r="M12" s="6">
        <v>897.19799999999998</v>
      </c>
      <c r="N12" s="6">
        <v>0</v>
      </c>
      <c r="O12" s="6">
        <v>0</v>
      </c>
      <c r="P12" s="6">
        <v>0</v>
      </c>
      <c r="Q12" s="4" t="s">
        <v>51</v>
      </c>
      <c r="R12" s="4">
        <v>0</v>
      </c>
      <c r="S12" s="4">
        <v>0</v>
      </c>
      <c r="T12" s="4">
        <v>40</v>
      </c>
      <c r="U12" s="4">
        <v>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93.48</v>
      </c>
      <c r="X12" s="6">
        <f>IF(ISERROR(VLOOKUP($U$12,'TAR FIN'!$A$1:$O$85,15,0)),0,VLOOKUP($U$12,'TAR FIN'!$A$1:$O$85,15,0))</f>
        <v>0</v>
      </c>
      <c r="Y12" s="6"/>
      <c r="Z12" s="6">
        <f ca="1">('TUSD BE'!$AM$12+'TUSD BF'!$AM$12+'TUSD CVA'!$AM$12)*1</f>
        <v>126.58207043299907</v>
      </c>
      <c r="AA12" s="6"/>
      <c r="AB12" s="6">
        <f t="shared" si="0"/>
        <v>0</v>
      </c>
      <c r="AC12" s="6">
        <f t="shared" si="1"/>
        <v>0</v>
      </c>
      <c r="AD12" s="6">
        <f t="shared" si="2"/>
        <v>0</v>
      </c>
      <c r="AE12" s="6">
        <f t="shared" ca="1" si="3"/>
        <v>0</v>
      </c>
      <c r="AF12" s="4" t="s">
        <v>596</v>
      </c>
      <c r="AJ12" s="6">
        <f ca="1">SUM(AJ2:AJ9)</f>
        <v>1163627.4990268953</v>
      </c>
    </row>
    <row r="13" spans="1:36" ht="11.25" customHeight="1" x14ac:dyDescent="0.3">
      <c r="A13" s="4" t="s">
        <v>21</v>
      </c>
      <c r="B13" s="4" t="s">
        <v>38</v>
      </c>
      <c r="C13" s="4" t="s">
        <v>39</v>
      </c>
      <c r="D13" s="4" t="s">
        <v>49</v>
      </c>
      <c r="E13" s="4" t="s">
        <v>25</v>
      </c>
      <c r="F13" s="4" t="s">
        <v>50</v>
      </c>
      <c r="G13" s="4" t="s">
        <v>25</v>
      </c>
      <c r="H13" s="4" t="s">
        <v>34</v>
      </c>
      <c r="I13" s="5">
        <v>44774</v>
      </c>
      <c r="J13" s="6">
        <v>0</v>
      </c>
      <c r="K13" s="6">
        <v>0</v>
      </c>
      <c r="L13" s="6">
        <v>874.66499999999996</v>
      </c>
      <c r="M13" s="6">
        <v>874.66499999999996</v>
      </c>
      <c r="N13" s="6">
        <v>0</v>
      </c>
      <c r="O13" s="6">
        <v>0</v>
      </c>
      <c r="P13" s="6">
        <v>0</v>
      </c>
      <c r="Q13" s="4" t="s">
        <v>51</v>
      </c>
      <c r="R13" s="4">
        <v>0</v>
      </c>
      <c r="S13" s="4">
        <v>0</v>
      </c>
      <c r="T13" s="4">
        <v>40</v>
      </c>
      <c r="U13" s="4">
        <v>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93.48</v>
      </c>
      <c r="X13" s="6">
        <f>IF(ISERROR(VLOOKUP($U$13,'TAR FIN'!$A$1:$O$85,15,0)),0,VLOOKUP($U$13,'TAR FIN'!$A$1:$O$85,15,0))</f>
        <v>0</v>
      </c>
      <c r="Y13" s="6"/>
      <c r="Z13" s="6">
        <f ca="1">('TUSD BE'!$AM$12+'TUSD BF'!$AM$12+'TUSD CVA'!$AM$12)*1</f>
        <v>126.58207043299907</v>
      </c>
      <c r="AA13" s="6"/>
      <c r="AB13" s="6">
        <f t="shared" si="0"/>
        <v>0</v>
      </c>
      <c r="AC13" s="6">
        <f t="shared" si="1"/>
        <v>0</v>
      </c>
      <c r="AD13" s="6">
        <f t="shared" si="2"/>
        <v>0</v>
      </c>
      <c r="AE13" s="6">
        <f t="shared" ca="1" si="3"/>
        <v>0</v>
      </c>
      <c r="AF13" s="4" t="s">
        <v>596</v>
      </c>
    </row>
    <row r="14" spans="1:36" ht="11.25" customHeight="1" x14ac:dyDescent="0.3">
      <c r="A14" s="4" t="s">
        <v>21</v>
      </c>
      <c r="B14" s="4" t="s">
        <v>38</v>
      </c>
      <c r="C14" s="4" t="s">
        <v>39</v>
      </c>
      <c r="D14" s="4" t="s">
        <v>49</v>
      </c>
      <c r="E14" s="4" t="s">
        <v>25</v>
      </c>
      <c r="F14" s="4" t="s">
        <v>50</v>
      </c>
      <c r="G14" s="4" t="s">
        <v>25</v>
      </c>
      <c r="H14" s="4" t="s">
        <v>25</v>
      </c>
      <c r="I14" s="5">
        <v>44440</v>
      </c>
      <c r="J14" s="6">
        <v>2100</v>
      </c>
      <c r="K14" s="6">
        <v>2100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51</v>
      </c>
      <c r="R14" s="4">
        <v>0</v>
      </c>
      <c r="S14" s="4">
        <v>47</v>
      </c>
      <c r="T14" s="4">
        <v>0</v>
      </c>
      <c r="U14" s="4">
        <v>0</v>
      </c>
      <c r="V14" s="6">
        <f>IF(ISERROR(VLOOKUP($S$14,'TAR FIN'!$A$1:$O$85,15,0)),0,VLOOKUP($S$14,'TAR FIN'!$A$1:$O$85,15,0))</f>
        <v>29.84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32.209574164280724</v>
      </c>
      <c r="Z14" s="6"/>
      <c r="AA14" s="6"/>
      <c r="AB14" s="6">
        <f t="shared" si="0"/>
        <v>0</v>
      </c>
      <c r="AC14" s="6">
        <f t="shared" si="1"/>
        <v>0</v>
      </c>
      <c r="AD14" s="6">
        <f t="shared" ca="1" si="2"/>
        <v>0</v>
      </c>
      <c r="AE14" s="6">
        <f t="shared" si="3"/>
        <v>0</v>
      </c>
      <c r="AF14" s="4" t="s">
        <v>596</v>
      </c>
    </row>
    <row r="15" spans="1:36" ht="11.25" customHeight="1" x14ac:dyDescent="0.3">
      <c r="A15" s="4" t="s">
        <v>21</v>
      </c>
      <c r="B15" s="4" t="s">
        <v>38</v>
      </c>
      <c r="C15" s="4" t="s">
        <v>39</v>
      </c>
      <c r="D15" s="4" t="s">
        <v>49</v>
      </c>
      <c r="E15" s="4" t="s">
        <v>25</v>
      </c>
      <c r="F15" s="4" t="s">
        <v>50</v>
      </c>
      <c r="G15" s="4" t="s">
        <v>25</v>
      </c>
      <c r="H15" s="4" t="s">
        <v>25</v>
      </c>
      <c r="I15" s="5">
        <v>44470</v>
      </c>
      <c r="J15" s="6">
        <v>2100</v>
      </c>
      <c r="K15" s="6">
        <v>2100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51</v>
      </c>
      <c r="R15" s="4">
        <v>0</v>
      </c>
      <c r="S15" s="4">
        <v>47</v>
      </c>
      <c r="T15" s="4">
        <v>0</v>
      </c>
      <c r="U15" s="4">
        <v>0</v>
      </c>
      <c r="V15" s="6">
        <f>IF(ISERROR(VLOOKUP($S$15,'TAR FIN'!$A$1:$O$85,15,0)),0,VLOOKUP($S$15,'TAR FIN'!$A$1:$O$85,15,0))</f>
        <v>29.84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32.209574164280724</v>
      </c>
      <c r="Z15" s="6"/>
      <c r="AA15" s="6"/>
      <c r="AB15" s="6">
        <f t="shared" si="0"/>
        <v>0</v>
      </c>
      <c r="AC15" s="6">
        <f t="shared" si="1"/>
        <v>0</v>
      </c>
      <c r="AD15" s="6">
        <f t="shared" ca="1" si="2"/>
        <v>0</v>
      </c>
      <c r="AE15" s="6">
        <f t="shared" si="3"/>
        <v>0</v>
      </c>
      <c r="AF15" s="4" t="s">
        <v>596</v>
      </c>
    </row>
    <row r="16" spans="1:36" ht="11.25" customHeight="1" x14ac:dyDescent="0.3">
      <c r="A16" s="4" t="s">
        <v>21</v>
      </c>
      <c r="B16" s="4" t="s">
        <v>38</v>
      </c>
      <c r="C16" s="4" t="s">
        <v>39</v>
      </c>
      <c r="D16" s="4" t="s">
        <v>49</v>
      </c>
      <c r="E16" s="4" t="s">
        <v>25</v>
      </c>
      <c r="F16" s="4" t="s">
        <v>50</v>
      </c>
      <c r="G16" s="4" t="s">
        <v>25</v>
      </c>
      <c r="H16" s="4" t="s">
        <v>25</v>
      </c>
      <c r="I16" s="5">
        <v>44501</v>
      </c>
      <c r="J16" s="6">
        <v>2100</v>
      </c>
      <c r="K16" s="6">
        <v>2100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51</v>
      </c>
      <c r="R16" s="4">
        <v>0</v>
      </c>
      <c r="S16" s="4">
        <v>47</v>
      </c>
      <c r="T16" s="4">
        <v>0</v>
      </c>
      <c r="U16" s="4">
        <v>0</v>
      </c>
      <c r="V16" s="6">
        <f>IF(ISERROR(VLOOKUP($S$16,'TAR FIN'!$A$1:$O$85,15,0)),0,VLOOKUP($S$16,'TAR FIN'!$A$1:$O$85,15,0))</f>
        <v>29.84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32.209574164280724</v>
      </c>
      <c r="Z16" s="6"/>
      <c r="AA16" s="6"/>
      <c r="AB16" s="6">
        <f t="shared" si="0"/>
        <v>0</v>
      </c>
      <c r="AC16" s="6">
        <f t="shared" si="1"/>
        <v>0</v>
      </c>
      <c r="AD16" s="6">
        <f t="shared" ca="1" si="2"/>
        <v>0</v>
      </c>
      <c r="AE16" s="6">
        <f t="shared" si="3"/>
        <v>0</v>
      </c>
      <c r="AF16" s="4" t="s">
        <v>596</v>
      </c>
    </row>
    <row r="17" spans="1:32" ht="11.25" customHeight="1" x14ac:dyDescent="0.3">
      <c r="A17" s="4" t="s">
        <v>21</v>
      </c>
      <c r="B17" s="4" t="s">
        <v>38</v>
      </c>
      <c r="C17" s="4" t="s">
        <v>39</v>
      </c>
      <c r="D17" s="4" t="s">
        <v>49</v>
      </c>
      <c r="E17" s="4" t="s">
        <v>25</v>
      </c>
      <c r="F17" s="4" t="s">
        <v>50</v>
      </c>
      <c r="G17" s="4" t="s">
        <v>25</v>
      </c>
      <c r="H17" s="4" t="s">
        <v>25</v>
      </c>
      <c r="I17" s="5">
        <v>44531</v>
      </c>
      <c r="J17" s="6">
        <v>2100</v>
      </c>
      <c r="K17" s="6">
        <v>2100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51</v>
      </c>
      <c r="R17" s="4">
        <v>0</v>
      </c>
      <c r="S17" s="4">
        <v>47</v>
      </c>
      <c r="T17" s="4">
        <v>0</v>
      </c>
      <c r="U17" s="4">
        <v>0</v>
      </c>
      <c r="V17" s="6">
        <f>IF(ISERROR(VLOOKUP($S$17,'TAR FIN'!$A$1:$O$85,15,0)),0,VLOOKUP($S$17,'TAR FIN'!$A$1:$O$85,15,0))</f>
        <v>29.84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32.209574164280724</v>
      </c>
      <c r="Z17" s="6"/>
      <c r="AA17" s="6"/>
      <c r="AB17" s="6">
        <f t="shared" si="0"/>
        <v>0</v>
      </c>
      <c r="AC17" s="6">
        <f t="shared" si="1"/>
        <v>0</v>
      </c>
      <c r="AD17" s="6">
        <f t="shared" ca="1" si="2"/>
        <v>0</v>
      </c>
      <c r="AE17" s="6">
        <f t="shared" si="3"/>
        <v>0</v>
      </c>
      <c r="AF17" s="4" t="s">
        <v>596</v>
      </c>
    </row>
    <row r="18" spans="1:32" ht="11.25" customHeight="1" x14ac:dyDescent="0.3">
      <c r="A18" s="4" t="s">
        <v>21</v>
      </c>
      <c r="B18" s="4" t="s">
        <v>38</v>
      </c>
      <c r="C18" s="4" t="s">
        <v>39</v>
      </c>
      <c r="D18" s="4" t="s">
        <v>49</v>
      </c>
      <c r="E18" s="4" t="s">
        <v>25</v>
      </c>
      <c r="F18" s="4" t="s">
        <v>50</v>
      </c>
      <c r="G18" s="4" t="s">
        <v>25</v>
      </c>
      <c r="H18" s="4" t="s">
        <v>25</v>
      </c>
      <c r="I18" s="5">
        <v>44562</v>
      </c>
      <c r="J18" s="6">
        <v>2100</v>
      </c>
      <c r="K18" s="6">
        <v>2100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51</v>
      </c>
      <c r="R18" s="4">
        <v>0</v>
      </c>
      <c r="S18" s="4">
        <v>47</v>
      </c>
      <c r="T18" s="4">
        <v>0</v>
      </c>
      <c r="U18" s="4">
        <v>0</v>
      </c>
      <c r="V18" s="6">
        <f>IF(ISERROR(VLOOKUP($S$18,'TAR FIN'!$A$1:$O$85,15,0)),0,VLOOKUP($S$18,'TAR FIN'!$A$1:$O$85,15,0))</f>
        <v>29.84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32.209574164280724</v>
      </c>
      <c r="Z18" s="6"/>
      <c r="AA18" s="6"/>
      <c r="AB18" s="6">
        <f t="shared" si="0"/>
        <v>0</v>
      </c>
      <c r="AC18" s="6">
        <f t="shared" si="1"/>
        <v>0</v>
      </c>
      <c r="AD18" s="6">
        <f t="shared" ca="1" si="2"/>
        <v>0</v>
      </c>
      <c r="AE18" s="6">
        <f t="shared" si="3"/>
        <v>0</v>
      </c>
      <c r="AF18" s="4" t="s">
        <v>596</v>
      </c>
    </row>
    <row r="19" spans="1:32" ht="11.25" customHeight="1" x14ac:dyDescent="0.3">
      <c r="A19" s="4" t="s">
        <v>21</v>
      </c>
      <c r="B19" s="4" t="s">
        <v>38</v>
      </c>
      <c r="C19" s="4" t="s">
        <v>39</v>
      </c>
      <c r="D19" s="4" t="s">
        <v>49</v>
      </c>
      <c r="E19" s="4" t="s">
        <v>25</v>
      </c>
      <c r="F19" s="4" t="s">
        <v>50</v>
      </c>
      <c r="G19" s="4" t="s">
        <v>25</v>
      </c>
      <c r="H19" s="4" t="s">
        <v>25</v>
      </c>
      <c r="I19" s="5">
        <v>44593</v>
      </c>
      <c r="J19" s="6">
        <v>2100</v>
      </c>
      <c r="K19" s="6">
        <v>1055.973387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51</v>
      </c>
      <c r="R19" s="4">
        <v>0</v>
      </c>
      <c r="S19" s="4">
        <v>47</v>
      </c>
      <c r="T19" s="4">
        <v>0</v>
      </c>
      <c r="U19" s="4">
        <v>0</v>
      </c>
      <c r="V19" s="6">
        <f>IF(ISERROR(VLOOKUP($S$19,'TAR FIN'!$A$1:$O$85,15,0)),0,VLOOKUP($S$19,'TAR FIN'!$A$1:$O$85,15,0))</f>
        <v>29.84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32.209574164280724</v>
      </c>
      <c r="Z19" s="6"/>
      <c r="AA19" s="6"/>
      <c r="AB19" s="6">
        <f t="shared" si="0"/>
        <v>31153.754131919999</v>
      </c>
      <c r="AC19" s="6">
        <f t="shared" si="1"/>
        <v>0</v>
      </c>
      <c r="AD19" s="6">
        <f t="shared" ca="1" si="2"/>
        <v>33627.652620906309</v>
      </c>
      <c r="AE19" s="6">
        <f t="shared" si="3"/>
        <v>0</v>
      </c>
      <c r="AF19" s="4" t="s">
        <v>596</v>
      </c>
    </row>
    <row r="20" spans="1:32" ht="11.25" customHeight="1" x14ac:dyDescent="0.3">
      <c r="A20" s="4" t="s">
        <v>21</v>
      </c>
      <c r="B20" s="4" t="s">
        <v>38</v>
      </c>
      <c r="C20" s="4" t="s">
        <v>39</v>
      </c>
      <c r="D20" s="4" t="s">
        <v>49</v>
      </c>
      <c r="E20" s="4" t="s">
        <v>25</v>
      </c>
      <c r="F20" s="4" t="s">
        <v>50</v>
      </c>
      <c r="G20" s="4" t="s">
        <v>25</v>
      </c>
      <c r="H20" s="4" t="s">
        <v>25</v>
      </c>
      <c r="I20" s="5">
        <v>44621</v>
      </c>
      <c r="J20" s="6">
        <v>2100</v>
      </c>
      <c r="K20" s="6">
        <v>1054.466322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51</v>
      </c>
      <c r="R20" s="4">
        <v>0</v>
      </c>
      <c r="S20" s="4">
        <v>47</v>
      </c>
      <c r="T20" s="4">
        <v>0</v>
      </c>
      <c r="U20" s="4">
        <v>0</v>
      </c>
      <c r="V20" s="6">
        <f>IF(ISERROR(VLOOKUP($S$20,'TAR FIN'!$A$1:$O$85,15,0)),0,VLOOKUP($S$20,'TAR FIN'!$A$1:$O$85,15,0))</f>
        <v>29.84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32.209574164280724</v>
      </c>
      <c r="Z20" s="6"/>
      <c r="AA20" s="6"/>
      <c r="AB20" s="6">
        <f t="shared" si="0"/>
        <v>31198.724951520002</v>
      </c>
      <c r="AC20" s="6">
        <f t="shared" si="1"/>
        <v>0</v>
      </c>
      <c r="AD20" s="6">
        <f t="shared" ca="1" si="2"/>
        <v>33676.194542794205</v>
      </c>
      <c r="AE20" s="6">
        <f t="shared" si="3"/>
        <v>0</v>
      </c>
      <c r="AF20" s="4" t="s">
        <v>596</v>
      </c>
    </row>
    <row r="21" spans="1:32" ht="11.25" customHeight="1" x14ac:dyDescent="0.3">
      <c r="A21" s="4" t="s">
        <v>21</v>
      </c>
      <c r="B21" s="4" t="s">
        <v>38</v>
      </c>
      <c r="C21" s="4" t="s">
        <v>39</v>
      </c>
      <c r="D21" s="4" t="s">
        <v>49</v>
      </c>
      <c r="E21" s="4" t="s">
        <v>25</v>
      </c>
      <c r="F21" s="4" t="s">
        <v>50</v>
      </c>
      <c r="G21" s="4" t="s">
        <v>25</v>
      </c>
      <c r="H21" s="4" t="s">
        <v>25</v>
      </c>
      <c r="I21" s="5">
        <v>44652</v>
      </c>
      <c r="J21" s="6">
        <v>2100</v>
      </c>
      <c r="K21" s="6">
        <v>1052.4575460000001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51</v>
      </c>
      <c r="R21" s="4">
        <v>0</v>
      </c>
      <c r="S21" s="4">
        <v>47</v>
      </c>
      <c r="T21" s="4">
        <v>0</v>
      </c>
      <c r="U21" s="4">
        <v>0</v>
      </c>
      <c r="V21" s="6">
        <f>IF(ISERROR(VLOOKUP($S$21,'TAR FIN'!$A$1:$O$85,15,0)),0,VLOOKUP($S$21,'TAR FIN'!$A$1:$O$85,15,0))</f>
        <v>29.84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32.209574164280724</v>
      </c>
      <c r="Z21" s="6"/>
      <c r="AA21" s="6"/>
      <c r="AB21" s="6">
        <f t="shared" si="0"/>
        <v>31258.666827359997</v>
      </c>
      <c r="AC21" s="6">
        <f t="shared" si="1"/>
        <v>0</v>
      </c>
      <c r="AD21" s="6">
        <f t="shared" ca="1" si="2"/>
        <v>33740.896362345629</v>
      </c>
      <c r="AE21" s="6">
        <f t="shared" si="3"/>
        <v>0</v>
      </c>
      <c r="AF21" s="4" t="s">
        <v>596</v>
      </c>
    </row>
    <row r="22" spans="1:32" ht="11.25" customHeight="1" x14ac:dyDescent="0.3">
      <c r="A22" s="4" t="s">
        <v>21</v>
      </c>
      <c r="B22" s="4" t="s">
        <v>38</v>
      </c>
      <c r="C22" s="4" t="s">
        <v>39</v>
      </c>
      <c r="D22" s="4" t="s">
        <v>49</v>
      </c>
      <c r="E22" s="4" t="s">
        <v>25</v>
      </c>
      <c r="F22" s="4" t="s">
        <v>50</v>
      </c>
      <c r="G22" s="4" t="s">
        <v>25</v>
      </c>
      <c r="H22" s="4" t="s">
        <v>25</v>
      </c>
      <c r="I22" s="5">
        <v>44682</v>
      </c>
      <c r="J22" s="6">
        <v>2100</v>
      </c>
      <c r="K22" s="6">
        <v>1050.8292899999999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51</v>
      </c>
      <c r="R22" s="4">
        <v>0</v>
      </c>
      <c r="S22" s="4">
        <v>47</v>
      </c>
      <c r="T22" s="4">
        <v>0</v>
      </c>
      <c r="U22" s="4">
        <v>0</v>
      </c>
      <c r="V22" s="6">
        <f>IF(ISERROR(VLOOKUP($S$22,'TAR FIN'!$A$1:$O$85,15,0)),0,VLOOKUP($S$22,'TAR FIN'!$A$1:$O$85,15,0))</f>
        <v>29.84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32.209574164280724</v>
      </c>
      <c r="Z22" s="6"/>
      <c r="AA22" s="6"/>
      <c r="AB22" s="6">
        <f t="shared" si="0"/>
        <v>31307.253986400003</v>
      </c>
      <c r="AC22" s="6">
        <f t="shared" si="1"/>
        <v>0</v>
      </c>
      <c r="AD22" s="6">
        <f t="shared" ca="1" si="2"/>
        <v>33793.341794736065</v>
      </c>
      <c r="AE22" s="6">
        <f t="shared" si="3"/>
        <v>0</v>
      </c>
      <c r="AF22" s="4" t="s">
        <v>596</v>
      </c>
    </row>
    <row r="23" spans="1:32" ht="11.25" customHeight="1" x14ac:dyDescent="0.3">
      <c r="A23" s="4" t="s">
        <v>21</v>
      </c>
      <c r="B23" s="4" t="s">
        <v>38</v>
      </c>
      <c r="C23" s="4" t="s">
        <v>39</v>
      </c>
      <c r="D23" s="4" t="s">
        <v>49</v>
      </c>
      <c r="E23" s="4" t="s">
        <v>25</v>
      </c>
      <c r="F23" s="4" t="s">
        <v>50</v>
      </c>
      <c r="G23" s="4" t="s">
        <v>25</v>
      </c>
      <c r="H23" s="4" t="s">
        <v>25</v>
      </c>
      <c r="I23" s="5">
        <v>44713</v>
      </c>
      <c r="J23" s="6">
        <v>2100</v>
      </c>
      <c r="K23" s="6">
        <v>1050.522354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51</v>
      </c>
      <c r="R23" s="4">
        <v>0</v>
      </c>
      <c r="S23" s="4">
        <v>47</v>
      </c>
      <c r="T23" s="4">
        <v>0</v>
      </c>
      <c r="U23" s="4">
        <v>0</v>
      </c>
      <c r="V23" s="6">
        <f>IF(ISERROR(VLOOKUP($S$23,'TAR FIN'!$A$1:$O$85,15,0)),0,VLOOKUP($S$23,'TAR FIN'!$A$1:$O$85,15,0))</f>
        <v>29.84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32.209574164280724</v>
      </c>
      <c r="Z23" s="6"/>
      <c r="AA23" s="6"/>
      <c r="AB23" s="6">
        <f t="shared" si="0"/>
        <v>31316.412956640001</v>
      </c>
      <c r="AC23" s="6">
        <f t="shared" si="1"/>
        <v>0</v>
      </c>
      <c r="AD23" s="6">
        <f t="shared" ca="1" si="2"/>
        <v>33803.228072591752</v>
      </c>
      <c r="AE23" s="6">
        <f t="shared" si="3"/>
        <v>0</v>
      </c>
      <c r="AF23" s="4" t="s">
        <v>596</v>
      </c>
    </row>
    <row r="24" spans="1:32" ht="11.25" customHeight="1" x14ac:dyDescent="0.3">
      <c r="A24" s="4" t="s">
        <v>21</v>
      </c>
      <c r="B24" s="4" t="s">
        <v>38</v>
      </c>
      <c r="C24" s="4" t="s">
        <v>39</v>
      </c>
      <c r="D24" s="4" t="s">
        <v>49</v>
      </c>
      <c r="E24" s="4" t="s">
        <v>25</v>
      </c>
      <c r="F24" s="4" t="s">
        <v>50</v>
      </c>
      <c r="G24" s="4" t="s">
        <v>25</v>
      </c>
      <c r="H24" s="4" t="s">
        <v>25</v>
      </c>
      <c r="I24" s="5">
        <v>44743</v>
      </c>
      <c r="J24" s="6">
        <v>2100</v>
      </c>
      <c r="K24" s="6">
        <v>1050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51</v>
      </c>
      <c r="R24" s="4">
        <v>0</v>
      </c>
      <c r="S24" s="4">
        <v>47</v>
      </c>
      <c r="T24" s="4">
        <v>0</v>
      </c>
      <c r="U24" s="4">
        <v>0</v>
      </c>
      <c r="V24" s="6">
        <f>IF(ISERROR(VLOOKUP($S$24,'TAR FIN'!$A$1:$O$85,15,0)),0,VLOOKUP($S$24,'TAR FIN'!$A$1:$O$85,15,0))</f>
        <v>29.84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32.209574164280724</v>
      </c>
      <c r="Z24" s="6"/>
      <c r="AA24" s="6"/>
      <c r="AB24" s="6">
        <f t="shared" si="0"/>
        <v>31332</v>
      </c>
      <c r="AC24" s="6">
        <f t="shared" si="1"/>
        <v>0</v>
      </c>
      <c r="AD24" s="6">
        <f t="shared" ca="1" si="2"/>
        <v>33820.052872494758</v>
      </c>
      <c r="AE24" s="6">
        <f t="shared" si="3"/>
        <v>0</v>
      </c>
      <c r="AF24" s="4" t="s">
        <v>596</v>
      </c>
    </row>
    <row r="25" spans="1:32" ht="11.25" customHeight="1" x14ac:dyDescent="0.3">
      <c r="A25" s="4" t="s">
        <v>21</v>
      </c>
      <c r="B25" s="4" t="s">
        <v>38</v>
      </c>
      <c r="C25" s="4" t="s">
        <v>39</v>
      </c>
      <c r="D25" s="4" t="s">
        <v>49</v>
      </c>
      <c r="E25" s="4" t="s">
        <v>25</v>
      </c>
      <c r="F25" s="4" t="s">
        <v>50</v>
      </c>
      <c r="G25" s="4" t="s">
        <v>25</v>
      </c>
      <c r="H25" s="4" t="s">
        <v>25</v>
      </c>
      <c r="I25" s="5">
        <v>44774</v>
      </c>
      <c r="J25" s="6">
        <v>2100</v>
      </c>
      <c r="K25" s="6">
        <v>1050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51</v>
      </c>
      <c r="R25" s="4">
        <v>0</v>
      </c>
      <c r="S25" s="4">
        <v>47</v>
      </c>
      <c r="T25" s="4">
        <v>0</v>
      </c>
      <c r="U25" s="4">
        <v>0</v>
      </c>
      <c r="V25" s="6">
        <f>IF(ISERROR(VLOOKUP($S$25,'TAR FIN'!$A$1:$O$85,15,0)),0,VLOOKUP($S$25,'TAR FIN'!$A$1:$O$85,15,0))</f>
        <v>29.84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32.209574164280724</v>
      </c>
      <c r="Z25" s="6"/>
      <c r="AA25" s="6"/>
      <c r="AB25" s="6">
        <f t="shared" si="0"/>
        <v>31332</v>
      </c>
      <c r="AC25" s="6">
        <f t="shared" si="1"/>
        <v>0</v>
      </c>
      <c r="AD25" s="6">
        <f t="shared" ca="1" si="2"/>
        <v>33820.052872494758</v>
      </c>
      <c r="AE25" s="6">
        <f t="shared" si="3"/>
        <v>0</v>
      </c>
      <c r="AF25" s="4" t="s">
        <v>596</v>
      </c>
    </row>
    <row r="26" spans="1:32" ht="11.25" customHeight="1" x14ac:dyDescent="0.3">
      <c r="A26" s="4" t="s">
        <v>21</v>
      </c>
      <c r="B26" s="4" t="s">
        <v>38</v>
      </c>
      <c r="C26" s="4" t="s">
        <v>39</v>
      </c>
      <c r="D26" s="4" t="s">
        <v>49</v>
      </c>
      <c r="E26" s="4" t="s">
        <v>25</v>
      </c>
      <c r="F26" s="4" t="s">
        <v>50</v>
      </c>
      <c r="G26" s="4" t="s">
        <v>25</v>
      </c>
      <c r="H26" s="4" t="s">
        <v>40</v>
      </c>
      <c r="I26" s="5">
        <v>44440</v>
      </c>
      <c r="J26" s="6">
        <v>0</v>
      </c>
      <c r="K26" s="6">
        <v>0</v>
      </c>
      <c r="L26" s="6">
        <v>86.004000000000005</v>
      </c>
      <c r="M26" s="6">
        <v>86.004000000000005</v>
      </c>
      <c r="N26" s="6">
        <v>0</v>
      </c>
      <c r="O26" s="6">
        <v>0</v>
      </c>
      <c r="P26" s="6">
        <v>0</v>
      </c>
      <c r="Q26" s="4" t="s">
        <v>51</v>
      </c>
      <c r="R26" s="4">
        <v>0</v>
      </c>
      <c r="S26" s="4">
        <v>0</v>
      </c>
      <c r="T26" s="4">
        <v>35</v>
      </c>
      <c r="U26" s="4">
        <v>0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2389.5</v>
      </c>
      <c r="X26" s="6">
        <f>IF(ISERROR(VLOOKUP($U$26,'TAR FIN'!$A$1:$O$85,15,0)),0,VLOOKUP($U$26,'TAR FIN'!$A$1:$O$85,15,0))</f>
        <v>0</v>
      </c>
      <c r="Y26" s="6"/>
      <c r="Z26" s="6">
        <f ca="1">('TUSD BE'!$AM$11+'TUSD BF'!$AM$11+'TUSD CVA'!$AM$11)*1</f>
        <v>2536.2721730427174</v>
      </c>
      <c r="AA26" s="6"/>
      <c r="AB26" s="6">
        <f t="shared" si="0"/>
        <v>0</v>
      </c>
      <c r="AC26" s="6">
        <f t="shared" si="1"/>
        <v>0</v>
      </c>
      <c r="AD26" s="6">
        <f t="shared" si="2"/>
        <v>0</v>
      </c>
      <c r="AE26" s="6">
        <f t="shared" ca="1" si="3"/>
        <v>0</v>
      </c>
      <c r="AF26" s="4" t="s">
        <v>596</v>
      </c>
    </row>
    <row r="27" spans="1:32" ht="11.25" customHeight="1" x14ac:dyDescent="0.3">
      <c r="A27" s="4" t="s">
        <v>21</v>
      </c>
      <c r="B27" s="4" t="s">
        <v>38</v>
      </c>
      <c r="C27" s="4" t="s">
        <v>39</v>
      </c>
      <c r="D27" s="4" t="s">
        <v>49</v>
      </c>
      <c r="E27" s="4" t="s">
        <v>25</v>
      </c>
      <c r="F27" s="4" t="s">
        <v>50</v>
      </c>
      <c r="G27" s="4" t="s">
        <v>25</v>
      </c>
      <c r="H27" s="4" t="s">
        <v>40</v>
      </c>
      <c r="I27" s="5">
        <v>44470</v>
      </c>
      <c r="J27" s="6">
        <v>0</v>
      </c>
      <c r="K27" s="6">
        <v>0</v>
      </c>
      <c r="L27" s="6">
        <v>72.034999999999997</v>
      </c>
      <c r="M27" s="6">
        <v>72.034999999999997</v>
      </c>
      <c r="N27" s="6">
        <v>0</v>
      </c>
      <c r="O27" s="6">
        <v>0</v>
      </c>
      <c r="P27" s="6">
        <v>0</v>
      </c>
      <c r="Q27" s="4" t="s">
        <v>51</v>
      </c>
      <c r="R27" s="4">
        <v>0</v>
      </c>
      <c r="S27" s="4">
        <v>0</v>
      </c>
      <c r="T27" s="4">
        <v>35</v>
      </c>
      <c r="U27" s="4">
        <v>0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2389.5</v>
      </c>
      <c r="X27" s="6">
        <f>IF(ISERROR(VLOOKUP($U$27,'TAR FIN'!$A$1:$O$85,15,0)),0,VLOOKUP($U$27,'TAR FIN'!$A$1:$O$85,15,0))</f>
        <v>0</v>
      </c>
      <c r="Y27" s="6"/>
      <c r="Z27" s="6">
        <f ca="1">('TUSD BE'!$AM$11+'TUSD BF'!$AM$11+'TUSD CVA'!$AM$11)*1</f>
        <v>2536.2721730427174</v>
      </c>
      <c r="AA27" s="6"/>
      <c r="AB27" s="6">
        <f t="shared" si="0"/>
        <v>0</v>
      </c>
      <c r="AC27" s="6">
        <f t="shared" si="1"/>
        <v>0</v>
      </c>
      <c r="AD27" s="6">
        <f t="shared" si="2"/>
        <v>0</v>
      </c>
      <c r="AE27" s="6">
        <f t="shared" ca="1" si="3"/>
        <v>0</v>
      </c>
      <c r="AF27" s="4" t="s">
        <v>596</v>
      </c>
    </row>
    <row r="28" spans="1:32" ht="11.25" customHeight="1" x14ac:dyDescent="0.3">
      <c r="A28" s="4" t="s">
        <v>21</v>
      </c>
      <c r="B28" s="4" t="s">
        <v>38</v>
      </c>
      <c r="C28" s="4" t="s">
        <v>39</v>
      </c>
      <c r="D28" s="4" t="s">
        <v>49</v>
      </c>
      <c r="E28" s="4" t="s">
        <v>25</v>
      </c>
      <c r="F28" s="4" t="s">
        <v>50</v>
      </c>
      <c r="G28" s="4" t="s">
        <v>25</v>
      </c>
      <c r="H28" s="4" t="s">
        <v>40</v>
      </c>
      <c r="I28" s="5">
        <v>44501</v>
      </c>
      <c r="J28" s="6">
        <v>0</v>
      </c>
      <c r="K28" s="6">
        <v>0</v>
      </c>
      <c r="L28" s="6">
        <v>80.399000000000001</v>
      </c>
      <c r="M28" s="6">
        <v>80.399000000000001</v>
      </c>
      <c r="N28" s="6">
        <v>0</v>
      </c>
      <c r="O28" s="6">
        <v>0</v>
      </c>
      <c r="P28" s="6">
        <v>0</v>
      </c>
      <c r="Q28" s="4" t="s">
        <v>51</v>
      </c>
      <c r="R28" s="4">
        <v>0</v>
      </c>
      <c r="S28" s="4">
        <v>0</v>
      </c>
      <c r="T28" s="4">
        <v>35</v>
      </c>
      <c r="U28" s="4">
        <v>0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2389.5</v>
      </c>
      <c r="X28" s="6">
        <f>IF(ISERROR(VLOOKUP($U$28,'TAR FIN'!$A$1:$O$85,15,0)),0,VLOOKUP($U$28,'TAR FIN'!$A$1:$O$85,15,0))</f>
        <v>0</v>
      </c>
      <c r="Y28" s="6"/>
      <c r="Z28" s="6">
        <f ca="1">('TUSD BE'!$AM$11+'TUSD BF'!$AM$11+'TUSD CVA'!$AM$11)*1</f>
        <v>2536.2721730427174</v>
      </c>
      <c r="AA28" s="6"/>
      <c r="AB28" s="6">
        <f t="shared" si="0"/>
        <v>0</v>
      </c>
      <c r="AC28" s="6">
        <f t="shared" si="1"/>
        <v>0</v>
      </c>
      <c r="AD28" s="6">
        <f t="shared" si="2"/>
        <v>0</v>
      </c>
      <c r="AE28" s="6">
        <f t="shared" ca="1" si="3"/>
        <v>0</v>
      </c>
      <c r="AF28" s="4" t="s">
        <v>596</v>
      </c>
    </row>
    <row r="29" spans="1:32" ht="11.25" customHeight="1" x14ac:dyDescent="0.3">
      <c r="A29" s="4" t="s">
        <v>21</v>
      </c>
      <c r="B29" s="4" t="s">
        <v>38</v>
      </c>
      <c r="C29" s="4" t="s">
        <v>39</v>
      </c>
      <c r="D29" s="4" t="s">
        <v>49</v>
      </c>
      <c r="E29" s="4" t="s">
        <v>25</v>
      </c>
      <c r="F29" s="4" t="s">
        <v>50</v>
      </c>
      <c r="G29" s="4" t="s">
        <v>25</v>
      </c>
      <c r="H29" s="4" t="s">
        <v>40</v>
      </c>
      <c r="I29" s="5">
        <v>44531</v>
      </c>
      <c r="J29" s="6">
        <v>0</v>
      </c>
      <c r="K29" s="6">
        <v>0</v>
      </c>
      <c r="L29" s="6">
        <v>92.685000000000002</v>
      </c>
      <c r="M29" s="6">
        <v>92.685000000000002</v>
      </c>
      <c r="N29" s="6">
        <v>0</v>
      </c>
      <c r="O29" s="6">
        <v>0</v>
      </c>
      <c r="P29" s="6">
        <v>0</v>
      </c>
      <c r="Q29" s="4" t="s">
        <v>51</v>
      </c>
      <c r="R29" s="4">
        <v>0</v>
      </c>
      <c r="S29" s="4">
        <v>0</v>
      </c>
      <c r="T29" s="4">
        <v>35</v>
      </c>
      <c r="U29" s="4">
        <v>0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2389.5</v>
      </c>
      <c r="X29" s="6">
        <f>IF(ISERROR(VLOOKUP($U$29,'TAR FIN'!$A$1:$O$85,15,0)),0,VLOOKUP($U$29,'TAR FIN'!$A$1:$O$85,15,0))</f>
        <v>0</v>
      </c>
      <c r="Y29" s="6"/>
      <c r="Z29" s="6">
        <f ca="1">('TUSD BE'!$AM$11+'TUSD BF'!$AM$11+'TUSD CVA'!$AM$11)*1</f>
        <v>2536.2721730427174</v>
      </c>
      <c r="AA29" s="6"/>
      <c r="AB29" s="6">
        <f t="shared" si="0"/>
        <v>0</v>
      </c>
      <c r="AC29" s="6">
        <f t="shared" si="1"/>
        <v>0</v>
      </c>
      <c r="AD29" s="6">
        <f t="shared" si="2"/>
        <v>0</v>
      </c>
      <c r="AE29" s="6">
        <f t="shared" ca="1" si="3"/>
        <v>0</v>
      </c>
      <c r="AF29" s="4" t="s">
        <v>596</v>
      </c>
    </row>
    <row r="30" spans="1:32" ht="11.25" customHeight="1" x14ac:dyDescent="0.3">
      <c r="A30" s="4" t="s">
        <v>21</v>
      </c>
      <c r="B30" s="4" t="s">
        <v>38</v>
      </c>
      <c r="C30" s="4" t="s">
        <v>39</v>
      </c>
      <c r="D30" s="4" t="s">
        <v>49</v>
      </c>
      <c r="E30" s="4" t="s">
        <v>25</v>
      </c>
      <c r="F30" s="4" t="s">
        <v>50</v>
      </c>
      <c r="G30" s="4" t="s">
        <v>25</v>
      </c>
      <c r="H30" s="4" t="s">
        <v>40</v>
      </c>
      <c r="I30" s="5">
        <v>44562</v>
      </c>
      <c r="J30" s="6">
        <v>0</v>
      </c>
      <c r="K30" s="6">
        <v>0</v>
      </c>
      <c r="L30" s="6">
        <v>83.393000000000001</v>
      </c>
      <c r="M30" s="6">
        <v>83.393000000000001</v>
      </c>
      <c r="N30" s="6">
        <v>0</v>
      </c>
      <c r="O30" s="6">
        <v>0</v>
      </c>
      <c r="P30" s="6">
        <v>0</v>
      </c>
      <c r="Q30" s="4" t="s">
        <v>51</v>
      </c>
      <c r="R30" s="4">
        <v>0</v>
      </c>
      <c r="S30" s="4">
        <v>0</v>
      </c>
      <c r="T30" s="4">
        <v>35</v>
      </c>
      <c r="U30" s="4">
        <v>0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2389.5</v>
      </c>
      <c r="X30" s="6">
        <f>IF(ISERROR(VLOOKUP($U$30,'TAR FIN'!$A$1:$O$85,15,0)),0,VLOOKUP($U$30,'TAR FIN'!$A$1:$O$85,15,0))</f>
        <v>0</v>
      </c>
      <c r="Y30" s="6"/>
      <c r="Z30" s="6">
        <f ca="1">('TUSD BE'!$AM$11+'TUSD BF'!$AM$11+'TUSD CVA'!$AM$11)*1</f>
        <v>2536.2721730427174</v>
      </c>
      <c r="AA30" s="6"/>
      <c r="AB30" s="6">
        <f t="shared" si="0"/>
        <v>0</v>
      </c>
      <c r="AC30" s="6">
        <f t="shared" si="1"/>
        <v>0</v>
      </c>
      <c r="AD30" s="6">
        <f t="shared" si="2"/>
        <v>0</v>
      </c>
      <c r="AE30" s="6">
        <f t="shared" ca="1" si="3"/>
        <v>0</v>
      </c>
      <c r="AF30" s="4" t="s">
        <v>596</v>
      </c>
    </row>
    <row r="31" spans="1:32" ht="11.25" customHeight="1" x14ac:dyDescent="0.3">
      <c r="A31" s="4" t="s">
        <v>21</v>
      </c>
      <c r="B31" s="4" t="s">
        <v>38</v>
      </c>
      <c r="C31" s="4" t="s">
        <v>39</v>
      </c>
      <c r="D31" s="4" t="s">
        <v>49</v>
      </c>
      <c r="E31" s="4" t="s">
        <v>25</v>
      </c>
      <c r="F31" s="4" t="s">
        <v>50</v>
      </c>
      <c r="G31" s="4" t="s">
        <v>25</v>
      </c>
      <c r="H31" s="4" t="s">
        <v>40</v>
      </c>
      <c r="I31" s="5">
        <v>44593</v>
      </c>
      <c r="J31" s="6">
        <v>0</v>
      </c>
      <c r="K31" s="6">
        <v>0</v>
      </c>
      <c r="L31" s="6">
        <v>78.411000000000001</v>
      </c>
      <c r="M31" s="6">
        <v>40.95357679947</v>
      </c>
      <c r="N31" s="6">
        <v>0</v>
      </c>
      <c r="O31" s="6">
        <v>0</v>
      </c>
      <c r="P31" s="6">
        <v>0</v>
      </c>
      <c r="Q31" s="4" t="s">
        <v>51</v>
      </c>
      <c r="R31" s="4">
        <v>0</v>
      </c>
      <c r="S31" s="4">
        <v>0</v>
      </c>
      <c r="T31" s="4">
        <v>35</v>
      </c>
      <c r="U31" s="4">
        <v>0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2389.5</v>
      </c>
      <c r="X31" s="6">
        <f>IF(ISERROR(VLOOKUP($U$31,'TAR FIN'!$A$1:$O$85,15,0)),0,VLOOKUP($U$31,'TAR FIN'!$A$1:$O$85,15,0))</f>
        <v>0</v>
      </c>
      <c r="Y31" s="6"/>
      <c r="Z31" s="6">
        <f ca="1">('TUSD BE'!$AM$11+'TUSD BF'!$AM$11+'TUSD CVA'!$AM$11)*1</f>
        <v>2536.2721730427174</v>
      </c>
      <c r="AA31" s="6"/>
      <c r="AB31" s="6">
        <f t="shared" si="0"/>
        <v>0</v>
      </c>
      <c r="AC31" s="6">
        <f t="shared" si="1"/>
        <v>89504.512737666446</v>
      </c>
      <c r="AD31" s="6">
        <f t="shared" si="2"/>
        <v>0</v>
      </c>
      <c r="AE31" s="6">
        <f t="shared" ca="1" si="3"/>
        <v>95002.220137388926</v>
      </c>
      <c r="AF31" s="4" t="s">
        <v>596</v>
      </c>
    </row>
    <row r="32" spans="1:32" ht="11.25" customHeight="1" x14ac:dyDescent="0.3">
      <c r="A32" s="4" t="s">
        <v>21</v>
      </c>
      <c r="B32" s="4" t="s">
        <v>38</v>
      </c>
      <c r="C32" s="4" t="s">
        <v>39</v>
      </c>
      <c r="D32" s="4" t="s">
        <v>49</v>
      </c>
      <c r="E32" s="4" t="s">
        <v>25</v>
      </c>
      <c r="F32" s="4" t="s">
        <v>50</v>
      </c>
      <c r="G32" s="4" t="s">
        <v>25</v>
      </c>
      <c r="H32" s="4" t="s">
        <v>40</v>
      </c>
      <c r="I32" s="5">
        <v>44621</v>
      </c>
      <c r="J32" s="6">
        <v>0</v>
      </c>
      <c r="K32" s="6">
        <v>0</v>
      </c>
      <c r="L32" s="6">
        <v>90.872</v>
      </c>
      <c r="M32" s="6">
        <v>47.399215953679999</v>
      </c>
      <c r="N32" s="6">
        <v>0</v>
      </c>
      <c r="O32" s="6">
        <v>0</v>
      </c>
      <c r="P32" s="6">
        <v>0</v>
      </c>
      <c r="Q32" s="4" t="s">
        <v>51</v>
      </c>
      <c r="R32" s="4">
        <v>0</v>
      </c>
      <c r="S32" s="4">
        <v>0</v>
      </c>
      <c r="T32" s="4">
        <v>35</v>
      </c>
      <c r="U32" s="4">
        <v>0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2389.5</v>
      </c>
      <c r="X32" s="6">
        <f>IF(ISERROR(VLOOKUP($U$32,'TAR FIN'!$A$1:$O$85,15,0)),0,VLOOKUP($U$32,'TAR FIN'!$A$1:$O$85,15,0))</f>
        <v>0</v>
      </c>
      <c r="Y32" s="6"/>
      <c r="Z32" s="6">
        <f ca="1">('TUSD BE'!$AM$11+'TUSD BF'!$AM$11+'TUSD CVA'!$AM$11)*1</f>
        <v>2536.2721730427174</v>
      </c>
      <c r="AA32" s="6"/>
      <c r="AB32" s="6">
        <f t="shared" si="0"/>
        <v>0</v>
      </c>
      <c r="AC32" s="6">
        <f t="shared" si="1"/>
        <v>103878.21747868165</v>
      </c>
      <c r="AD32" s="6">
        <f t="shared" si="2"/>
        <v>0</v>
      </c>
      <c r="AE32" s="6">
        <f t="shared" ca="1" si="3"/>
        <v>110258.8124613768</v>
      </c>
      <c r="AF32" s="4" t="s">
        <v>596</v>
      </c>
    </row>
    <row r="33" spans="1:32" ht="11.25" customHeight="1" x14ac:dyDescent="0.3">
      <c r="A33" s="4" t="s">
        <v>21</v>
      </c>
      <c r="B33" s="4" t="s">
        <v>38</v>
      </c>
      <c r="C33" s="4" t="s">
        <v>39</v>
      </c>
      <c r="D33" s="4" t="s">
        <v>49</v>
      </c>
      <c r="E33" s="4" t="s">
        <v>25</v>
      </c>
      <c r="F33" s="4" t="s">
        <v>50</v>
      </c>
      <c r="G33" s="4" t="s">
        <v>25</v>
      </c>
      <c r="H33" s="4" t="s">
        <v>40</v>
      </c>
      <c r="I33" s="5">
        <v>44652</v>
      </c>
      <c r="J33" s="6">
        <v>0</v>
      </c>
      <c r="K33" s="6">
        <v>0</v>
      </c>
      <c r="L33" s="6">
        <v>85.397999999999996</v>
      </c>
      <c r="M33" s="6">
        <v>44.465462753879997</v>
      </c>
      <c r="N33" s="6">
        <v>0</v>
      </c>
      <c r="O33" s="6">
        <v>0</v>
      </c>
      <c r="P33" s="6">
        <v>0</v>
      </c>
      <c r="Q33" s="4" t="s">
        <v>51</v>
      </c>
      <c r="R33" s="4">
        <v>0</v>
      </c>
      <c r="S33" s="4">
        <v>0</v>
      </c>
      <c r="T33" s="4">
        <v>35</v>
      </c>
      <c r="U33" s="4">
        <v>0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2389.5</v>
      </c>
      <c r="X33" s="6">
        <f>IF(ISERROR(VLOOKUP($U$33,'TAR FIN'!$A$1:$O$85,15,0)),0,VLOOKUP($U$33,'TAR FIN'!$A$1:$O$85,15,0))</f>
        <v>0</v>
      </c>
      <c r="Y33" s="6"/>
      <c r="Z33" s="6">
        <f ca="1">('TUSD BE'!$AM$11+'TUSD BF'!$AM$11+'TUSD CVA'!$AM$11)*1</f>
        <v>2536.2721730427174</v>
      </c>
      <c r="AA33" s="6"/>
      <c r="AB33" s="6">
        <f t="shared" si="0"/>
        <v>0</v>
      </c>
      <c r="AC33" s="6">
        <f t="shared" si="1"/>
        <v>97808.297749603735</v>
      </c>
      <c r="AD33" s="6">
        <f t="shared" si="2"/>
        <v>0</v>
      </c>
      <c r="AE33" s="6">
        <f t="shared" ca="1" si="3"/>
        <v>103816.05518936874</v>
      </c>
      <c r="AF33" s="4" t="s">
        <v>596</v>
      </c>
    </row>
    <row r="34" spans="1:32" ht="11.25" customHeight="1" x14ac:dyDescent="0.3">
      <c r="A34" s="4" t="s">
        <v>21</v>
      </c>
      <c r="B34" s="4" t="s">
        <v>38</v>
      </c>
      <c r="C34" s="4" t="s">
        <v>39</v>
      </c>
      <c r="D34" s="4" t="s">
        <v>49</v>
      </c>
      <c r="E34" s="4" t="s">
        <v>25</v>
      </c>
      <c r="F34" s="4" t="s">
        <v>50</v>
      </c>
      <c r="G34" s="4" t="s">
        <v>25</v>
      </c>
      <c r="H34" s="4" t="s">
        <v>40</v>
      </c>
      <c r="I34" s="5">
        <v>44682</v>
      </c>
      <c r="J34" s="6">
        <v>0</v>
      </c>
      <c r="K34" s="6">
        <v>0</v>
      </c>
      <c r="L34" s="6">
        <v>85.915000000000006</v>
      </c>
      <c r="M34" s="6">
        <v>44.670605579099998</v>
      </c>
      <c r="N34" s="6">
        <v>0</v>
      </c>
      <c r="O34" s="6">
        <v>0</v>
      </c>
      <c r="P34" s="6">
        <v>0</v>
      </c>
      <c r="Q34" s="4" t="s">
        <v>51</v>
      </c>
      <c r="R34" s="4">
        <v>0</v>
      </c>
      <c r="S34" s="4">
        <v>0</v>
      </c>
      <c r="T34" s="4">
        <v>35</v>
      </c>
      <c r="U34" s="4">
        <v>0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2389.5</v>
      </c>
      <c r="X34" s="6">
        <f>IF(ISERROR(VLOOKUP($U$34,'TAR FIN'!$A$1:$O$85,15,0)),0,VLOOKUP($U$34,'TAR FIN'!$A$1:$O$85,15,0))</f>
        <v>0</v>
      </c>
      <c r="Y34" s="6"/>
      <c r="Z34" s="6">
        <f ca="1">('TUSD BE'!$AM$11+'TUSD BF'!$AM$11+'TUSD CVA'!$AM$11)*1</f>
        <v>2536.2721730427174</v>
      </c>
      <c r="AA34" s="6"/>
      <c r="AB34" s="6">
        <f t="shared" ref="AB34:AB37" si="6">(J34-K34)*V34</f>
        <v>0</v>
      </c>
      <c r="AC34" s="6">
        <f t="shared" ref="AC34:AC37" si="7">(L34-M34)*W34+(N34-O34)*X34</f>
        <v>98553.48046874057</v>
      </c>
      <c r="AD34" s="6">
        <f t="shared" ref="AD34:AD37" si="8">(J34-K34)*Y34</f>
        <v>0</v>
      </c>
      <c r="AE34" s="6">
        <f t="shared" ref="AE34:AE37" ca="1" si="9">(L34-M34)*Z34+(N34-O34)*AA34</f>
        <v>104607.009863727</v>
      </c>
      <c r="AF34" s="4" t="s">
        <v>596</v>
      </c>
    </row>
    <row r="35" spans="1:32" ht="11.25" customHeight="1" x14ac:dyDescent="0.3">
      <c r="A35" s="4" t="s">
        <v>21</v>
      </c>
      <c r="B35" s="4" t="s">
        <v>38</v>
      </c>
      <c r="C35" s="4" t="s">
        <v>39</v>
      </c>
      <c r="D35" s="4" t="s">
        <v>49</v>
      </c>
      <c r="E35" s="4" t="s">
        <v>25</v>
      </c>
      <c r="F35" s="4" t="s">
        <v>50</v>
      </c>
      <c r="G35" s="4" t="s">
        <v>25</v>
      </c>
      <c r="H35" s="4" t="s">
        <v>40</v>
      </c>
      <c r="I35" s="5">
        <v>44713</v>
      </c>
      <c r="J35" s="6">
        <v>0</v>
      </c>
      <c r="K35" s="6">
        <v>0</v>
      </c>
      <c r="L35" s="6">
        <v>86.504000000000005</v>
      </c>
      <c r="M35" s="6">
        <v>44.964743733360002</v>
      </c>
      <c r="N35" s="6">
        <v>0</v>
      </c>
      <c r="O35" s="6">
        <v>0</v>
      </c>
      <c r="P35" s="6">
        <v>0</v>
      </c>
      <c r="Q35" s="4" t="s">
        <v>51</v>
      </c>
      <c r="R35" s="4">
        <v>0</v>
      </c>
      <c r="S35" s="4">
        <v>0</v>
      </c>
      <c r="T35" s="4">
        <v>35</v>
      </c>
      <c r="U35" s="4">
        <v>0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2389.5</v>
      </c>
      <c r="X35" s="6">
        <f>IF(ISERROR(VLOOKUP($U$35,'TAR FIN'!$A$1:$O$85,15,0)),0,VLOOKUP($U$35,'TAR FIN'!$A$1:$O$85,15,0))</f>
        <v>0</v>
      </c>
      <c r="Y35" s="6"/>
      <c r="Z35" s="6">
        <f ca="1">('TUSD BE'!$AM$11+'TUSD BF'!$AM$11+'TUSD CVA'!$AM$11)*1</f>
        <v>2536.2721730427174</v>
      </c>
      <c r="AA35" s="6"/>
      <c r="AB35" s="6">
        <f t="shared" si="6"/>
        <v>0</v>
      </c>
      <c r="AC35" s="6">
        <f t="shared" si="7"/>
        <v>99258.052849136293</v>
      </c>
      <c r="AD35" s="6">
        <f t="shared" si="8"/>
        <v>0</v>
      </c>
      <c r="AE35" s="6">
        <f t="shared" ca="1" si="9"/>
        <v>105354.85975796936</v>
      </c>
      <c r="AF35" s="4" t="s">
        <v>596</v>
      </c>
    </row>
    <row r="36" spans="1:32" ht="11.25" customHeight="1" x14ac:dyDescent="0.3">
      <c r="A36" s="4" t="s">
        <v>21</v>
      </c>
      <c r="B36" s="4" t="s">
        <v>38</v>
      </c>
      <c r="C36" s="4" t="s">
        <v>39</v>
      </c>
      <c r="D36" s="4" t="s">
        <v>49</v>
      </c>
      <c r="E36" s="4" t="s">
        <v>25</v>
      </c>
      <c r="F36" s="4" t="s">
        <v>50</v>
      </c>
      <c r="G36" s="4" t="s">
        <v>25</v>
      </c>
      <c r="H36" s="4" t="s">
        <v>40</v>
      </c>
      <c r="I36" s="5">
        <v>44743</v>
      </c>
      <c r="J36" s="6">
        <v>0</v>
      </c>
      <c r="K36" s="6">
        <v>0</v>
      </c>
      <c r="L36" s="6">
        <v>89.667000000000002</v>
      </c>
      <c r="M36" s="6">
        <v>44.838360848070003</v>
      </c>
      <c r="N36" s="6">
        <v>0</v>
      </c>
      <c r="O36" s="6">
        <v>0</v>
      </c>
      <c r="P36" s="6">
        <v>0</v>
      </c>
      <c r="Q36" s="4" t="s">
        <v>51</v>
      </c>
      <c r="R36" s="4">
        <v>0</v>
      </c>
      <c r="S36" s="4">
        <v>0</v>
      </c>
      <c r="T36" s="4">
        <v>35</v>
      </c>
      <c r="U36" s="4">
        <v>0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2389.5</v>
      </c>
      <c r="X36" s="6">
        <f>IF(ISERROR(VLOOKUP($U$36,'TAR FIN'!$A$1:$O$85,15,0)),0,VLOOKUP($U$36,'TAR FIN'!$A$1:$O$85,15,0))</f>
        <v>0</v>
      </c>
      <c r="Y36" s="6"/>
      <c r="Z36" s="6">
        <f ca="1">('TUSD BE'!$AM$11+'TUSD BF'!$AM$11+'TUSD CVA'!$AM$11)*1</f>
        <v>2536.2721730427174</v>
      </c>
      <c r="AA36" s="6"/>
      <c r="AB36" s="6">
        <f t="shared" si="6"/>
        <v>0</v>
      </c>
      <c r="AC36" s="6">
        <f t="shared" si="7"/>
        <v>107118.03325353673</v>
      </c>
      <c r="AD36" s="6">
        <f t="shared" si="8"/>
        <v>0</v>
      </c>
      <c r="AE36" s="6">
        <f t="shared" ca="1" si="9"/>
        <v>113697.63003641333</v>
      </c>
      <c r="AF36" s="4" t="s">
        <v>596</v>
      </c>
    </row>
    <row r="37" spans="1:32" ht="11.25" customHeight="1" x14ac:dyDescent="0.3">
      <c r="A37" s="4" t="s">
        <v>21</v>
      </c>
      <c r="B37" s="4" t="s">
        <v>38</v>
      </c>
      <c r="C37" s="4" t="s">
        <v>39</v>
      </c>
      <c r="D37" s="4" t="s">
        <v>49</v>
      </c>
      <c r="E37" s="4" t="s">
        <v>25</v>
      </c>
      <c r="F37" s="4" t="s">
        <v>50</v>
      </c>
      <c r="G37" s="4" t="s">
        <v>25</v>
      </c>
      <c r="H37" s="4" t="s">
        <v>40</v>
      </c>
      <c r="I37" s="5">
        <v>44774</v>
      </c>
      <c r="J37" s="6">
        <v>0</v>
      </c>
      <c r="K37" s="6">
        <v>0</v>
      </c>
      <c r="L37" s="6">
        <v>92.382999999999996</v>
      </c>
      <c r="M37" s="6">
        <v>47.998565062140003</v>
      </c>
      <c r="N37" s="6">
        <v>0</v>
      </c>
      <c r="O37" s="6">
        <v>0</v>
      </c>
      <c r="P37" s="6">
        <v>0</v>
      </c>
      <c r="Q37" s="4" t="s">
        <v>51</v>
      </c>
      <c r="R37" s="4">
        <v>0</v>
      </c>
      <c r="S37" s="4">
        <v>0</v>
      </c>
      <c r="T37" s="4">
        <v>35</v>
      </c>
      <c r="U37" s="4">
        <v>0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2389.5</v>
      </c>
      <c r="X37" s="6">
        <f>IF(ISERROR(VLOOKUP($U$37,'TAR FIN'!$A$1:$O$85,15,0)),0,VLOOKUP($U$37,'TAR FIN'!$A$1:$O$85,15,0))</f>
        <v>0</v>
      </c>
      <c r="Y37" s="6"/>
      <c r="Z37" s="6">
        <f ca="1">('TUSD BE'!$AM$11+'TUSD BF'!$AM$11+'TUSD CVA'!$AM$11)*1</f>
        <v>2536.2721730427174</v>
      </c>
      <c r="AA37" s="6"/>
      <c r="AB37" s="6">
        <f t="shared" si="6"/>
        <v>0</v>
      </c>
      <c r="AC37" s="6">
        <f t="shared" si="7"/>
        <v>106056.60728401646</v>
      </c>
      <c r="AD37" s="6">
        <f t="shared" si="8"/>
        <v>0</v>
      </c>
      <c r="AE37" s="6">
        <f t="shared" ca="1" si="9"/>
        <v>112571.00724911927</v>
      </c>
      <c r="AF37" s="4" t="s">
        <v>596</v>
      </c>
    </row>
    <row r="38" spans="1:32" ht="11.25" customHeight="1" x14ac:dyDescent="0.3">
      <c r="A38" s="4" t="s">
        <v>21</v>
      </c>
      <c r="B38" s="4" t="s">
        <v>38</v>
      </c>
      <c r="C38" s="4" t="s">
        <v>39</v>
      </c>
      <c r="D38" s="4" t="s">
        <v>47</v>
      </c>
      <c r="E38" s="4" t="s">
        <v>48</v>
      </c>
      <c r="F38" s="4" t="s">
        <v>25</v>
      </c>
      <c r="G38" s="4" t="s">
        <v>25</v>
      </c>
      <c r="H38" s="4" t="s">
        <v>34</v>
      </c>
      <c r="I38" s="5">
        <v>44440</v>
      </c>
      <c r="J38" s="6">
        <v>0</v>
      </c>
      <c r="K38" s="52">
        <v>0</v>
      </c>
      <c r="L38" s="6">
        <v>215.23599999999999</v>
      </c>
      <c r="M38" s="52">
        <v>215.23599999999999</v>
      </c>
      <c r="N38" s="6">
        <v>215.23599999999999</v>
      </c>
      <c r="O38" s="52">
        <v>215.23599999999999</v>
      </c>
      <c r="P38" s="6">
        <v>0</v>
      </c>
      <c r="Q38" s="4" t="s">
        <v>26</v>
      </c>
      <c r="R38" s="4">
        <v>0</v>
      </c>
      <c r="S38" s="4">
        <v>0</v>
      </c>
      <c r="T38" s="4">
        <v>40</v>
      </c>
      <c r="U38" s="4">
        <v>65</v>
      </c>
      <c r="V38" s="52">
        <f>IF(ISERROR(VLOOKUP($S$38,'TAR FIN'!$A$1:$O$85,15,0)),0,VLOOKUP($S$38,'TAR FIN'!$A$1:$O$85,15,0))</f>
        <v>0</v>
      </c>
      <c r="W38" s="52">
        <f>IF(ISERROR(VLOOKUP($T$38,'TAR FIN'!$A$1:$O$85,15,0)),0,VLOOKUP($T$38,'TAR FIN'!$A$1:$O$85,15,0))*(1-0.06)</f>
        <v>87.871200000000002</v>
      </c>
      <c r="X38" s="52">
        <f>IF(ISERROR(VLOOKUP($U$38,'TAR FIN'!$A$1:$O$85,15,0)),0,VLOOKUP($U$38,'TAR FIN'!$A$1:$O$85,15,0))*(1-0.06)</f>
        <v>208.30399999999997</v>
      </c>
      <c r="Y38" s="52"/>
      <c r="Z38" s="52">
        <f ca="1">('TUSD BE'!$AM$12+'TUSD BF'!$AM$12+'TUSD CVA'!$AM$12)*1*(1-0.03)</f>
        <v>122.7846083200091</v>
      </c>
      <c r="AA38" s="52">
        <f>('TE BE'!$AB$6+'TE BF'!$AB$6+'TE CVA'!$AB$6)*1*(1-0.03)</f>
        <v>261.13311241088314</v>
      </c>
      <c r="AB38" s="52">
        <f>(SUBSIDIO!$J$38*SUBSIDIO!$V$38)*(0.06)/(1-0.06)</f>
        <v>0</v>
      </c>
      <c r="AC38" s="52">
        <f>((SUBSIDIO!$L$38*SUBSIDIO!$W$38)+(SUBSIDIO!$N$38*SUBSIDIO!$X$38))*(0.06)/(1-0.06)</f>
        <v>4068.9935327999997</v>
      </c>
      <c r="AD38" s="52">
        <f>(SUBSIDIO!$J$38*SUBSIDIO!$Y$38)*(0.03)/(1-0.03)</f>
        <v>0</v>
      </c>
      <c r="AE38" s="52">
        <f ca="1">((SUBSIDIO!$L$38*SUBSIDIO!$Z$38)+(SUBSIDIO!$N$38*SUBSIDIO!$AA$38))*(0.03)/(1-0.03)</f>
        <v>2555.6571506979685</v>
      </c>
      <c r="AF38" s="4" t="s">
        <v>597</v>
      </c>
    </row>
    <row r="39" spans="1:32" ht="11.25" customHeight="1" x14ac:dyDescent="0.3">
      <c r="A39" s="4" t="s">
        <v>21</v>
      </c>
      <c r="B39" s="4" t="s">
        <v>38</v>
      </c>
      <c r="C39" s="4" t="s">
        <v>39</v>
      </c>
      <c r="D39" s="4" t="s">
        <v>47</v>
      </c>
      <c r="E39" s="4" t="s">
        <v>48</v>
      </c>
      <c r="F39" s="4" t="s">
        <v>25</v>
      </c>
      <c r="G39" s="4" t="s">
        <v>25</v>
      </c>
      <c r="H39" s="4" t="s">
        <v>34</v>
      </c>
      <c r="I39" s="5">
        <v>44470</v>
      </c>
      <c r="J39" s="6">
        <v>0</v>
      </c>
      <c r="K39" s="52">
        <v>0</v>
      </c>
      <c r="L39" s="6">
        <v>221.91499999999999</v>
      </c>
      <c r="M39" s="52">
        <v>221.91499999999999</v>
      </c>
      <c r="N39" s="6">
        <v>221.91499999999999</v>
      </c>
      <c r="O39" s="52">
        <v>221.91499999999999</v>
      </c>
      <c r="P39" s="6">
        <v>0</v>
      </c>
      <c r="Q39" s="4" t="s">
        <v>26</v>
      </c>
      <c r="R39" s="4">
        <v>0</v>
      </c>
      <c r="S39" s="4">
        <v>0</v>
      </c>
      <c r="T39" s="4">
        <v>40</v>
      </c>
      <c r="U39" s="4">
        <v>65</v>
      </c>
      <c r="V39" s="52">
        <f>IF(ISERROR(VLOOKUP($S$39,'TAR FIN'!$A$1:$O$85,15,0)),0,VLOOKUP($S$39,'TAR FIN'!$A$1:$O$85,15,0))</f>
        <v>0</v>
      </c>
      <c r="W39" s="52">
        <f>IF(ISERROR(VLOOKUP($T$39,'TAR FIN'!$A$1:$O$85,15,0)),0,VLOOKUP($T$39,'TAR FIN'!$A$1:$O$85,15,0))*(1-0.06)</f>
        <v>87.871200000000002</v>
      </c>
      <c r="X39" s="52">
        <f>IF(ISERROR(VLOOKUP($U$39,'TAR FIN'!$A$1:$O$85,15,0)),0,VLOOKUP($U$39,'TAR FIN'!$A$1:$O$85,15,0))*(1-0.06)</f>
        <v>208.30399999999997</v>
      </c>
      <c r="Y39" s="52"/>
      <c r="Z39" s="52">
        <f ca="1">('TUSD BE'!$AM$12+'TUSD BF'!$AM$12+'TUSD CVA'!$AM$12)*1*(1-0.03)</f>
        <v>122.7846083200091</v>
      </c>
      <c r="AA39" s="52">
        <f>('TE BE'!$AB$6+'TE BF'!$AB$6+'TE CVA'!$AB$6)*1*(1-0.03)</f>
        <v>261.13311241088314</v>
      </c>
      <c r="AB39" s="52">
        <f>(SUBSIDIO!$J$39*SUBSIDIO!$V$39)*(0.06)/(1-0.06)</f>
        <v>0</v>
      </c>
      <c r="AC39" s="52">
        <f>((SUBSIDIO!$L$39*SUBSIDIO!$W$39)+(SUBSIDIO!$N$39*SUBSIDIO!$X$39))*(0.06)/(1-0.06)</f>
        <v>4195.2586919999994</v>
      </c>
      <c r="AD39" s="52">
        <f>(SUBSIDIO!$J$39*SUBSIDIO!$Y$39)*(0.03)/(1-0.03)</f>
        <v>0</v>
      </c>
      <c r="AE39" s="52">
        <f ca="1">((SUBSIDIO!$L$39*SUBSIDIO!$Z$39)+(SUBSIDIO!$N$39*SUBSIDIO!$AA$39))*(0.03)/(1-0.03)</f>
        <v>2634.9618864741014</v>
      </c>
      <c r="AF39" s="4" t="s">
        <v>597</v>
      </c>
    </row>
    <row r="40" spans="1:32" ht="11.25" customHeight="1" x14ac:dyDescent="0.3">
      <c r="A40" s="4" t="s">
        <v>21</v>
      </c>
      <c r="B40" s="4" t="s">
        <v>38</v>
      </c>
      <c r="C40" s="4" t="s">
        <v>39</v>
      </c>
      <c r="D40" s="4" t="s">
        <v>47</v>
      </c>
      <c r="E40" s="4" t="s">
        <v>48</v>
      </c>
      <c r="F40" s="4" t="s">
        <v>25</v>
      </c>
      <c r="G40" s="4" t="s">
        <v>25</v>
      </c>
      <c r="H40" s="4" t="s">
        <v>34</v>
      </c>
      <c r="I40" s="5">
        <v>44501</v>
      </c>
      <c r="J40" s="6">
        <v>0</v>
      </c>
      <c r="K40" s="52">
        <v>0</v>
      </c>
      <c r="L40" s="6">
        <v>214.208</v>
      </c>
      <c r="M40" s="52">
        <v>214.208</v>
      </c>
      <c r="N40" s="6">
        <v>214.208</v>
      </c>
      <c r="O40" s="52">
        <v>214.208</v>
      </c>
      <c r="P40" s="6">
        <v>0</v>
      </c>
      <c r="Q40" s="4" t="s">
        <v>26</v>
      </c>
      <c r="R40" s="4">
        <v>0</v>
      </c>
      <c r="S40" s="4">
        <v>0</v>
      </c>
      <c r="T40" s="4">
        <v>40</v>
      </c>
      <c r="U40" s="4">
        <v>65</v>
      </c>
      <c r="V40" s="52">
        <f>IF(ISERROR(VLOOKUP($S$40,'TAR FIN'!$A$1:$O$85,15,0)),0,VLOOKUP($S$40,'TAR FIN'!$A$1:$O$85,15,0))</f>
        <v>0</v>
      </c>
      <c r="W40" s="52">
        <f>IF(ISERROR(VLOOKUP($T$40,'TAR FIN'!$A$1:$O$85,15,0)),0,VLOOKUP($T$40,'TAR FIN'!$A$1:$O$85,15,0))*(1-0.06)</f>
        <v>87.871200000000002</v>
      </c>
      <c r="X40" s="52">
        <f>IF(ISERROR(VLOOKUP($U$40,'TAR FIN'!$A$1:$O$85,15,0)),0,VLOOKUP($U$40,'TAR FIN'!$A$1:$O$85,15,0))*(1-0.06)</f>
        <v>208.30399999999997</v>
      </c>
      <c r="Y40" s="52"/>
      <c r="Z40" s="52">
        <f ca="1">('TUSD BE'!$AM$12+'TUSD BF'!$AM$12+'TUSD CVA'!$AM$12)*1*(1-0.03)</f>
        <v>122.7846083200091</v>
      </c>
      <c r="AA40" s="52">
        <f>('TE BE'!$AB$6+'TE BF'!$AB$6+'TE CVA'!$AB$6)*1*(1-0.03)</f>
        <v>261.13311241088314</v>
      </c>
      <c r="AB40" s="52">
        <f>(SUBSIDIO!$J$40*SUBSIDIO!$V$40)*(0.06)/(1-0.06)</f>
        <v>0</v>
      </c>
      <c r="AC40" s="52">
        <f>((SUBSIDIO!$L$40*SUBSIDIO!$W$40)+(SUBSIDIO!$N$40*SUBSIDIO!$X$40))*(0.06)/(1-0.06)</f>
        <v>4049.5593983999993</v>
      </c>
      <c r="AD40" s="52">
        <f>(SUBSIDIO!$J$40*SUBSIDIO!$Y$40)*(0.03)/(1-0.03)</f>
        <v>0</v>
      </c>
      <c r="AE40" s="52">
        <f ca="1">((SUBSIDIO!$L$40*SUBSIDIO!$Z$40)+(SUBSIDIO!$N$40*SUBSIDIO!$AA$40))*(0.03)/(1-0.03)</f>
        <v>2543.4509419275141</v>
      </c>
      <c r="AF40" s="4" t="s">
        <v>597</v>
      </c>
    </row>
    <row r="41" spans="1:32" ht="11.25" customHeight="1" x14ac:dyDescent="0.3">
      <c r="A41" s="4" t="s">
        <v>21</v>
      </c>
      <c r="B41" s="4" t="s">
        <v>38</v>
      </c>
      <c r="C41" s="4" t="s">
        <v>39</v>
      </c>
      <c r="D41" s="4" t="s">
        <v>47</v>
      </c>
      <c r="E41" s="4" t="s">
        <v>48</v>
      </c>
      <c r="F41" s="4" t="s">
        <v>25</v>
      </c>
      <c r="G41" s="4" t="s">
        <v>25</v>
      </c>
      <c r="H41" s="4" t="s">
        <v>34</v>
      </c>
      <c r="I41" s="5">
        <v>44531</v>
      </c>
      <c r="J41" s="6">
        <v>0</v>
      </c>
      <c r="K41" s="52">
        <v>0</v>
      </c>
      <c r="L41" s="6">
        <v>220.203</v>
      </c>
      <c r="M41" s="52">
        <v>220.203</v>
      </c>
      <c r="N41" s="6">
        <v>220.203</v>
      </c>
      <c r="O41" s="52">
        <v>220.203</v>
      </c>
      <c r="P41" s="6">
        <v>0</v>
      </c>
      <c r="Q41" s="4" t="s">
        <v>26</v>
      </c>
      <c r="R41" s="4">
        <v>0</v>
      </c>
      <c r="S41" s="4">
        <v>0</v>
      </c>
      <c r="T41" s="4">
        <v>40</v>
      </c>
      <c r="U41" s="4">
        <v>65</v>
      </c>
      <c r="V41" s="52">
        <f>IF(ISERROR(VLOOKUP($S$41,'TAR FIN'!$A$1:$O$85,15,0)),0,VLOOKUP($S$41,'TAR FIN'!$A$1:$O$85,15,0))</f>
        <v>0</v>
      </c>
      <c r="W41" s="52">
        <f>IF(ISERROR(VLOOKUP($T$41,'TAR FIN'!$A$1:$O$85,15,0)),0,VLOOKUP($T$41,'TAR FIN'!$A$1:$O$85,15,0))*(1-0.06)</f>
        <v>87.871200000000002</v>
      </c>
      <c r="X41" s="52">
        <f>IF(ISERROR(VLOOKUP($U$41,'TAR FIN'!$A$1:$O$85,15,0)),0,VLOOKUP($U$41,'TAR FIN'!$A$1:$O$85,15,0))*(1-0.06)</f>
        <v>208.30399999999997</v>
      </c>
      <c r="Y41" s="52"/>
      <c r="Z41" s="52">
        <f ca="1">('TUSD BE'!$AM$12+'TUSD BF'!$AM$12+'TUSD CVA'!$AM$12)*1*(1-0.03)</f>
        <v>122.7846083200091</v>
      </c>
      <c r="AA41" s="52">
        <f>('TE BE'!$AB$6+'TE BF'!$AB$6+'TE CVA'!$AB$6)*1*(1-0.03)</f>
        <v>261.13311241088314</v>
      </c>
      <c r="AB41" s="52">
        <f>(SUBSIDIO!$J$41*SUBSIDIO!$V$41)*(0.06)/(1-0.06)</f>
        <v>0</v>
      </c>
      <c r="AC41" s="52">
        <f>((SUBSIDIO!$L$41*SUBSIDIO!$W$41)+(SUBSIDIO!$N$41*SUBSIDIO!$X$41))*(0.06)/(1-0.06)</f>
        <v>4162.8936743999993</v>
      </c>
      <c r="AD41" s="52">
        <f>(SUBSIDIO!$J$41*SUBSIDIO!$Y$41)*(0.03)/(1-0.03)</f>
        <v>0</v>
      </c>
      <c r="AE41" s="52">
        <f ca="1">((SUBSIDIO!$L$41*SUBSIDIO!$Z$41)+(SUBSIDIO!$N$41*SUBSIDIO!$AA$41))*(0.03)/(1-0.03)</f>
        <v>2614.634036848598</v>
      </c>
      <c r="AF41" s="4" t="s">
        <v>597</v>
      </c>
    </row>
    <row r="42" spans="1:32" ht="11.25" customHeight="1" x14ac:dyDescent="0.3">
      <c r="A42" s="4" t="s">
        <v>21</v>
      </c>
      <c r="B42" s="4" t="s">
        <v>38</v>
      </c>
      <c r="C42" s="4" t="s">
        <v>39</v>
      </c>
      <c r="D42" s="4" t="s">
        <v>47</v>
      </c>
      <c r="E42" s="4" t="s">
        <v>48</v>
      </c>
      <c r="F42" s="4" t="s">
        <v>25</v>
      </c>
      <c r="G42" s="4" t="s">
        <v>25</v>
      </c>
      <c r="H42" s="4" t="s">
        <v>34</v>
      </c>
      <c r="I42" s="5">
        <v>44562</v>
      </c>
      <c r="J42" s="6">
        <v>0</v>
      </c>
      <c r="K42" s="52">
        <v>0</v>
      </c>
      <c r="L42" s="6">
        <v>200.84200000000001</v>
      </c>
      <c r="M42" s="52">
        <v>200.84200000000001</v>
      </c>
      <c r="N42" s="6">
        <v>200.84200000000001</v>
      </c>
      <c r="O42" s="52">
        <v>200.84200000000001</v>
      </c>
      <c r="P42" s="6">
        <v>0</v>
      </c>
      <c r="Q42" s="4" t="s">
        <v>26</v>
      </c>
      <c r="R42" s="4">
        <v>0</v>
      </c>
      <c r="S42" s="4">
        <v>0</v>
      </c>
      <c r="T42" s="4">
        <v>40</v>
      </c>
      <c r="U42" s="4">
        <v>65</v>
      </c>
      <c r="V42" s="52">
        <f>IF(ISERROR(VLOOKUP($S$42,'TAR FIN'!$A$1:$O$85,15,0)),0,VLOOKUP($S$42,'TAR FIN'!$A$1:$O$85,15,0))</f>
        <v>0</v>
      </c>
      <c r="W42" s="52">
        <f>IF(ISERROR(VLOOKUP($T$42,'TAR FIN'!$A$1:$O$85,15,0)),0,VLOOKUP($T$42,'TAR FIN'!$A$1:$O$85,15,0))*(1-0.06)</f>
        <v>87.871200000000002</v>
      </c>
      <c r="X42" s="52">
        <f>IF(ISERROR(VLOOKUP($U$42,'TAR FIN'!$A$1:$O$85,15,0)),0,VLOOKUP($U$42,'TAR FIN'!$A$1:$O$85,15,0))*(1-0.06)</f>
        <v>208.30399999999997</v>
      </c>
      <c r="Y42" s="52"/>
      <c r="Z42" s="52">
        <f ca="1">('TUSD BE'!$AM$12+'TUSD BF'!$AM$12+'TUSD CVA'!$AM$12)*1*(1-0.03)</f>
        <v>122.7846083200091</v>
      </c>
      <c r="AA42" s="52">
        <f>('TE BE'!$AB$6+'TE BF'!$AB$6+'TE CVA'!$AB$6)*1*(1-0.03)</f>
        <v>261.13311241088314</v>
      </c>
      <c r="AB42" s="52">
        <f>(SUBSIDIO!$J$42*SUBSIDIO!$V$42)*(0.06)/(1-0.06)</f>
        <v>0</v>
      </c>
      <c r="AC42" s="52">
        <f>((SUBSIDIO!$L$42*SUBSIDIO!$W$42)+(SUBSIDIO!$N$42*SUBSIDIO!$X$42))*(0.06)/(1-0.06)</f>
        <v>3796.8778415999996</v>
      </c>
      <c r="AD42" s="52">
        <f>(SUBSIDIO!$J$42*SUBSIDIO!$Y$42)*(0.03)/(1-0.03)</f>
        <v>0</v>
      </c>
      <c r="AE42" s="52">
        <f ca="1">((SUBSIDIO!$L$42*SUBSIDIO!$Z$42)+(SUBSIDIO!$N$42*SUBSIDIO!$AA$42))*(0.03)/(1-0.03)</f>
        <v>2384.7464804237279</v>
      </c>
      <c r="AF42" s="4" t="s">
        <v>597</v>
      </c>
    </row>
    <row r="43" spans="1:32" ht="11.25" customHeight="1" x14ac:dyDescent="0.3">
      <c r="A43" s="4" t="s">
        <v>21</v>
      </c>
      <c r="B43" s="4" t="s">
        <v>38</v>
      </c>
      <c r="C43" s="4" t="s">
        <v>39</v>
      </c>
      <c r="D43" s="4" t="s">
        <v>47</v>
      </c>
      <c r="E43" s="4" t="s">
        <v>48</v>
      </c>
      <c r="F43" s="4" t="s">
        <v>25</v>
      </c>
      <c r="G43" s="4" t="s">
        <v>25</v>
      </c>
      <c r="H43" s="4" t="s">
        <v>34</v>
      </c>
      <c r="I43" s="5">
        <v>44593</v>
      </c>
      <c r="J43" s="6">
        <v>0</v>
      </c>
      <c r="K43" s="52">
        <v>0</v>
      </c>
      <c r="L43" s="6">
        <v>193.44</v>
      </c>
      <c r="M43" s="52">
        <v>193.44</v>
      </c>
      <c r="N43" s="6">
        <v>193.44</v>
      </c>
      <c r="O43" s="52">
        <v>193.44</v>
      </c>
      <c r="P43" s="6">
        <v>0</v>
      </c>
      <c r="Q43" s="4" t="s">
        <v>26</v>
      </c>
      <c r="R43" s="4">
        <v>0</v>
      </c>
      <c r="S43" s="4">
        <v>0</v>
      </c>
      <c r="T43" s="4">
        <v>40</v>
      </c>
      <c r="U43" s="4">
        <v>65</v>
      </c>
      <c r="V43" s="52">
        <f>IF(ISERROR(VLOOKUP($S$43,'TAR FIN'!$A$1:$O$85,15,0)),0,VLOOKUP($S$43,'TAR FIN'!$A$1:$O$85,15,0))</f>
        <v>0</v>
      </c>
      <c r="W43" s="52">
        <f>IF(ISERROR(VLOOKUP($T$43,'TAR FIN'!$A$1:$O$85,15,0)),0,VLOOKUP($T$43,'TAR FIN'!$A$1:$O$85,15,0))*(1-0.06)</f>
        <v>87.871200000000002</v>
      </c>
      <c r="X43" s="52">
        <f>IF(ISERROR(VLOOKUP($U$43,'TAR FIN'!$A$1:$O$85,15,0)),0,VLOOKUP($U$43,'TAR FIN'!$A$1:$O$85,15,0))*(1-0.06)</f>
        <v>208.30399999999997</v>
      </c>
      <c r="Y43" s="52"/>
      <c r="Z43" s="52">
        <f ca="1">('TUSD BE'!$AM$12+'TUSD BF'!$AM$12+'TUSD CVA'!$AM$12)*1*(1-0.03)</f>
        <v>122.7846083200091</v>
      </c>
      <c r="AA43" s="52">
        <f>('TE BE'!$AB$6+'TE BF'!$AB$6+'TE CVA'!$AB$6)*1*(1-0.03)</f>
        <v>261.13311241088314</v>
      </c>
      <c r="AB43" s="52">
        <f>(SUBSIDIO!$J$43*SUBSIDIO!$V$43)*(0.06)/(1-0.06)</f>
        <v>0</v>
      </c>
      <c r="AC43" s="52">
        <f>((SUBSIDIO!$L$43*SUBSIDIO!$W$43)+(SUBSIDIO!$N$43*SUBSIDIO!$X$43))*(0.06)/(1-0.06)</f>
        <v>3656.9445119999996</v>
      </c>
      <c r="AD43" s="52">
        <f>(SUBSIDIO!$J$43*SUBSIDIO!$Y$43)*(0.03)/(1-0.03)</f>
        <v>0</v>
      </c>
      <c r="AE43" s="52">
        <f ca="1">((SUBSIDIO!$L$43*SUBSIDIO!$Z$43)+(SUBSIDIO!$N$43*SUBSIDIO!$AA$43))*(0.03)/(1-0.03)</f>
        <v>2296.8570277788799</v>
      </c>
      <c r="AF43" s="4" t="s">
        <v>597</v>
      </c>
    </row>
    <row r="44" spans="1:32" ht="11.25" customHeight="1" x14ac:dyDescent="0.3">
      <c r="A44" s="4" t="s">
        <v>21</v>
      </c>
      <c r="B44" s="4" t="s">
        <v>38</v>
      </c>
      <c r="C44" s="4" t="s">
        <v>39</v>
      </c>
      <c r="D44" s="4" t="s">
        <v>47</v>
      </c>
      <c r="E44" s="4" t="s">
        <v>48</v>
      </c>
      <c r="F44" s="4" t="s">
        <v>25</v>
      </c>
      <c r="G44" s="4" t="s">
        <v>25</v>
      </c>
      <c r="H44" s="4" t="s">
        <v>34</v>
      </c>
      <c r="I44" s="5">
        <v>44621</v>
      </c>
      <c r="J44" s="6">
        <v>0</v>
      </c>
      <c r="K44" s="52">
        <v>0</v>
      </c>
      <c r="L44" s="6">
        <v>190.35400000000001</v>
      </c>
      <c r="M44" s="52">
        <v>190.35400000000001</v>
      </c>
      <c r="N44" s="6">
        <v>190.35400000000001</v>
      </c>
      <c r="O44" s="52">
        <v>190.35400000000001</v>
      </c>
      <c r="P44" s="6">
        <v>0</v>
      </c>
      <c r="Q44" s="4" t="s">
        <v>26</v>
      </c>
      <c r="R44" s="4">
        <v>0</v>
      </c>
      <c r="S44" s="4">
        <v>0</v>
      </c>
      <c r="T44" s="4">
        <v>40</v>
      </c>
      <c r="U44" s="4">
        <v>65</v>
      </c>
      <c r="V44" s="52">
        <f>IF(ISERROR(VLOOKUP($S$44,'TAR FIN'!$A$1:$O$85,15,0)),0,VLOOKUP($S$44,'TAR FIN'!$A$1:$O$85,15,0))</f>
        <v>0</v>
      </c>
      <c r="W44" s="52">
        <f>IF(ISERROR(VLOOKUP($T$44,'TAR FIN'!$A$1:$O$85,15,0)),0,VLOOKUP($T$44,'TAR FIN'!$A$1:$O$85,15,0))*(1-0.06)</f>
        <v>87.871200000000002</v>
      </c>
      <c r="X44" s="52">
        <f>IF(ISERROR(VLOOKUP($U$44,'TAR FIN'!$A$1:$O$85,15,0)),0,VLOOKUP($U$44,'TAR FIN'!$A$1:$O$85,15,0))*(1-0.06)</f>
        <v>208.30399999999997</v>
      </c>
      <c r="Y44" s="52"/>
      <c r="Z44" s="52">
        <f ca="1">('TUSD BE'!$AM$12+'TUSD BF'!$AM$12+'TUSD CVA'!$AM$12)*1*(1-0.03)</f>
        <v>122.7846083200091</v>
      </c>
      <c r="AA44" s="52">
        <f>('TE BE'!$AB$6+'TE BF'!$AB$6+'TE CVA'!$AB$6)*1*(1-0.03)</f>
        <v>261.13311241088314</v>
      </c>
      <c r="AB44" s="52">
        <f>(SUBSIDIO!$J$44*SUBSIDIO!$V$44)*(0.06)/(1-0.06)</f>
        <v>0</v>
      </c>
      <c r="AC44" s="52">
        <f>((SUBSIDIO!$L$44*SUBSIDIO!$W$44)+(SUBSIDIO!$N$44*SUBSIDIO!$X$44))*(0.06)/(1-0.06)</f>
        <v>3598.6042992000002</v>
      </c>
      <c r="AD44" s="52">
        <f>(SUBSIDIO!$J$44*SUBSIDIO!$Y$44)*(0.03)/(1-0.03)</f>
        <v>0</v>
      </c>
      <c r="AE44" s="52">
        <f ca="1">((SUBSIDIO!$L$44*SUBSIDIO!$Z$44)+(SUBSIDIO!$N$44*SUBSIDIO!$AA$44))*(0.03)/(1-0.03)</f>
        <v>2260.2146539796368</v>
      </c>
      <c r="AF44" s="4" t="s">
        <v>597</v>
      </c>
    </row>
    <row r="45" spans="1:32" ht="11.25" customHeight="1" x14ac:dyDescent="0.3">
      <c r="A45" s="4" t="s">
        <v>21</v>
      </c>
      <c r="B45" s="4" t="s">
        <v>38</v>
      </c>
      <c r="C45" s="4" t="s">
        <v>39</v>
      </c>
      <c r="D45" s="4" t="s">
        <v>47</v>
      </c>
      <c r="E45" s="4" t="s">
        <v>48</v>
      </c>
      <c r="F45" s="4" t="s">
        <v>25</v>
      </c>
      <c r="G45" s="4" t="s">
        <v>25</v>
      </c>
      <c r="H45" s="4" t="s">
        <v>34</v>
      </c>
      <c r="I45" s="5">
        <v>44652</v>
      </c>
      <c r="J45" s="6">
        <v>0</v>
      </c>
      <c r="K45" s="52">
        <v>0</v>
      </c>
      <c r="L45" s="6">
        <v>187.297</v>
      </c>
      <c r="M45" s="52">
        <v>187.297</v>
      </c>
      <c r="N45" s="6">
        <v>187.297</v>
      </c>
      <c r="O45" s="52">
        <v>187.297</v>
      </c>
      <c r="P45" s="6">
        <v>0</v>
      </c>
      <c r="Q45" s="4" t="s">
        <v>26</v>
      </c>
      <c r="R45" s="4">
        <v>0</v>
      </c>
      <c r="S45" s="4">
        <v>0</v>
      </c>
      <c r="T45" s="4">
        <v>40</v>
      </c>
      <c r="U45" s="4">
        <v>65</v>
      </c>
      <c r="V45" s="52">
        <f>IF(ISERROR(VLOOKUP($S$45,'TAR FIN'!$A$1:$O$85,15,0)),0,VLOOKUP($S$45,'TAR FIN'!$A$1:$O$85,15,0))</f>
        <v>0</v>
      </c>
      <c r="W45" s="52">
        <f>IF(ISERROR(VLOOKUP($T$45,'TAR FIN'!$A$1:$O$85,15,0)),0,VLOOKUP($T$45,'TAR FIN'!$A$1:$O$85,15,0))*(1-0.06)</f>
        <v>87.871200000000002</v>
      </c>
      <c r="X45" s="52">
        <f>IF(ISERROR(VLOOKUP($U$45,'TAR FIN'!$A$1:$O$85,15,0)),0,VLOOKUP($U$45,'TAR FIN'!$A$1:$O$85,15,0))*(1-0.06)</f>
        <v>208.30399999999997</v>
      </c>
      <c r="Y45" s="52"/>
      <c r="Z45" s="52">
        <f ca="1">('TUSD BE'!$AM$12+'TUSD BF'!$AM$12+'TUSD CVA'!$AM$12)*1*(1-0.03)</f>
        <v>122.7846083200091</v>
      </c>
      <c r="AA45" s="52">
        <f>('TE BE'!$AB$6+'TE BF'!$AB$6+'TE CVA'!$AB$6)*1*(1-0.03)</f>
        <v>261.13311241088314</v>
      </c>
      <c r="AB45" s="52">
        <f>(SUBSIDIO!$J$45*SUBSIDIO!$V$45)*(0.06)/(1-0.06)</f>
        <v>0</v>
      </c>
      <c r="AC45" s="52">
        <f>((SUBSIDIO!$L$45*SUBSIDIO!$W$45)+(SUBSIDIO!$N$45*SUBSIDIO!$X$45))*(0.06)/(1-0.06)</f>
        <v>3540.8123255999999</v>
      </c>
      <c r="AD45" s="52">
        <f>(SUBSIDIO!$J$45*SUBSIDIO!$Y$45)*(0.03)/(1-0.03)</f>
        <v>0</v>
      </c>
      <c r="AE45" s="52">
        <f ca="1">((SUBSIDIO!$L$45*SUBSIDIO!$Z$45)+(SUBSIDIO!$N$45*SUBSIDIO!$AA$45))*(0.03)/(1-0.03)</f>
        <v>2223.9166187546571</v>
      </c>
      <c r="AF45" s="4" t="s">
        <v>597</v>
      </c>
    </row>
    <row r="46" spans="1:32" ht="11.25" customHeight="1" x14ac:dyDescent="0.3">
      <c r="A46" s="4" t="s">
        <v>21</v>
      </c>
      <c r="B46" s="4" t="s">
        <v>38</v>
      </c>
      <c r="C46" s="4" t="s">
        <v>39</v>
      </c>
      <c r="D46" s="4" t="s">
        <v>47</v>
      </c>
      <c r="E46" s="4" t="s">
        <v>48</v>
      </c>
      <c r="F46" s="4" t="s">
        <v>25</v>
      </c>
      <c r="G46" s="4" t="s">
        <v>25</v>
      </c>
      <c r="H46" s="4" t="s">
        <v>34</v>
      </c>
      <c r="I46" s="5">
        <v>44682</v>
      </c>
      <c r="J46" s="6">
        <v>0</v>
      </c>
      <c r="K46" s="52">
        <v>0</v>
      </c>
      <c r="L46" s="6">
        <v>206.12899999999999</v>
      </c>
      <c r="M46" s="52">
        <v>206.12899999999999</v>
      </c>
      <c r="N46" s="6">
        <v>206.12899999999999</v>
      </c>
      <c r="O46" s="52">
        <v>206.12899999999999</v>
      </c>
      <c r="P46" s="6">
        <v>0</v>
      </c>
      <c r="Q46" s="4" t="s">
        <v>26</v>
      </c>
      <c r="R46" s="4">
        <v>0</v>
      </c>
      <c r="S46" s="4">
        <v>0</v>
      </c>
      <c r="T46" s="4">
        <v>40</v>
      </c>
      <c r="U46" s="4">
        <v>65</v>
      </c>
      <c r="V46" s="52">
        <f>IF(ISERROR(VLOOKUP($S$46,'TAR FIN'!$A$1:$O$85,15,0)),0,VLOOKUP($S$46,'TAR FIN'!$A$1:$O$85,15,0))</f>
        <v>0</v>
      </c>
      <c r="W46" s="52">
        <f>IF(ISERROR(VLOOKUP($T$46,'TAR FIN'!$A$1:$O$85,15,0)),0,VLOOKUP($T$46,'TAR FIN'!$A$1:$O$85,15,0))*(1-0.06)</f>
        <v>87.871200000000002</v>
      </c>
      <c r="X46" s="52">
        <f>IF(ISERROR(VLOOKUP($U$46,'TAR FIN'!$A$1:$O$85,15,0)),0,VLOOKUP($U$46,'TAR FIN'!$A$1:$O$85,15,0))*(1-0.06)</f>
        <v>208.30399999999997</v>
      </c>
      <c r="Y46" s="52"/>
      <c r="Z46" s="52">
        <f ca="1">('TUSD BE'!$AM$12+'TUSD BF'!$AM$12+'TUSD CVA'!$AM$12)*1*(1-0.03)</f>
        <v>122.7846083200091</v>
      </c>
      <c r="AA46" s="52">
        <f>('TE BE'!$AB$6+'TE BF'!$AB$6+'TE CVA'!$AB$6)*1*(1-0.03)</f>
        <v>261.13311241088314</v>
      </c>
      <c r="AB46" s="52">
        <f>(SUBSIDIO!$J$46*SUBSIDIO!$V$46)*(0.06)/(1-0.06)</f>
        <v>0</v>
      </c>
      <c r="AC46" s="52">
        <f>((SUBSIDIO!$L$46*SUBSIDIO!$W$46)+(SUBSIDIO!$N$46*SUBSIDIO!$X$46))*(0.06)/(1-0.06)</f>
        <v>3896.8275191999996</v>
      </c>
      <c r="AD46" s="52">
        <f>(SUBSIDIO!$J$46*SUBSIDIO!$Y$46)*(0.03)/(1-0.03)</f>
        <v>0</v>
      </c>
      <c r="AE46" s="52">
        <f ca="1">((SUBSIDIO!$L$46*SUBSIDIO!$Z$46)+(SUBSIDIO!$N$46*SUBSIDIO!$AA$46))*(0.03)/(1-0.03)</f>
        <v>2447.5229646351982</v>
      </c>
      <c r="AF46" s="4" t="s">
        <v>597</v>
      </c>
    </row>
    <row r="47" spans="1:32" ht="11.25" customHeight="1" x14ac:dyDescent="0.3">
      <c r="A47" s="4" t="s">
        <v>21</v>
      </c>
      <c r="B47" s="4" t="s">
        <v>38</v>
      </c>
      <c r="C47" s="4" t="s">
        <v>39</v>
      </c>
      <c r="D47" s="4" t="s">
        <v>47</v>
      </c>
      <c r="E47" s="4" t="s">
        <v>48</v>
      </c>
      <c r="F47" s="4" t="s">
        <v>25</v>
      </c>
      <c r="G47" s="4" t="s">
        <v>25</v>
      </c>
      <c r="H47" s="4" t="s">
        <v>34</v>
      </c>
      <c r="I47" s="5">
        <v>44713</v>
      </c>
      <c r="J47" s="6">
        <v>0</v>
      </c>
      <c r="K47" s="52">
        <v>0</v>
      </c>
      <c r="L47" s="6">
        <v>198.251</v>
      </c>
      <c r="M47" s="52">
        <v>198.251</v>
      </c>
      <c r="N47" s="6">
        <v>198.251</v>
      </c>
      <c r="O47" s="52">
        <v>198.251</v>
      </c>
      <c r="P47" s="6">
        <v>0</v>
      </c>
      <c r="Q47" s="4" t="s">
        <v>26</v>
      </c>
      <c r="R47" s="4">
        <v>0</v>
      </c>
      <c r="S47" s="4">
        <v>0</v>
      </c>
      <c r="T47" s="4">
        <v>40</v>
      </c>
      <c r="U47" s="4">
        <v>65</v>
      </c>
      <c r="V47" s="52">
        <f>IF(ISERROR(VLOOKUP($S$47,'TAR FIN'!$A$1:$O$85,15,0)),0,VLOOKUP($S$47,'TAR FIN'!$A$1:$O$85,15,0))</f>
        <v>0</v>
      </c>
      <c r="W47" s="52">
        <f>IF(ISERROR(VLOOKUP($T$47,'TAR FIN'!$A$1:$O$85,15,0)),0,VLOOKUP($T$47,'TAR FIN'!$A$1:$O$85,15,0))*(1-0.06)</f>
        <v>87.871200000000002</v>
      </c>
      <c r="X47" s="52">
        <f>IF(ISERROR(VLOOKUP($U$47,'TAR FIN'!$A$1:$O$85,15,0)),0,VLOOKUP($U$47,'TAR FIN'!$A$1:$O$85,15,0))*(1-0.06)</f>
        <v>208.30399999999997</v>
      </c>
      <c r="Y47" s="52"/>
      <c r="Z47" s="52">
        <f ca="1">('TUSD BE'!$AM$12+'TUSD BF'!$AM$12+'TUSD CVA'!$AM$12)*1*(1-0.03)</f>
        <v>122.7846083200091</v>
      </c>
      <c r="AA47" s="52">
        <f>('TE BE'!$AB$6+'TE BF'!$AB$6+'TE CVA'!$AB$6)*1*(1-0.03)</f>
        <v>261.13311241088314</v>
      </c>
      <c r="AB47" s="52">
        <f>(SUBSIDIO!$J$47*SUBSIDIO!$V$47)*(0.06)/(1-0.06)</f>
        <v>0</v>
      </c>
      <c r="AC47" s="52">
        <f>((SUBSIDIO!$L$47*SUBSIDIO!$W$47)+(SUBSIDIO!$N$47*SUBSIDIO!$X$47))*(0.06)/(1-0.06)</f>
        <v>3747.8955047999998</v>
      </c>
      <c r="AD47" s="52">
        <f>(SUBSIDIO!$J$47*SUBSIDIO!$Y$47)*(0.03)/(1-0.03)</f>
        <v>0</v>
      </c>
      <c r="AE47" s="52">
        <f ca="1">((SUBSIDIO!$L$47*SUBSIDIO!$Z$47)+(SUBSIDIO!$N$47*SUBSIDIO!$AA$47))*(0.03)/(1-0.03)</f>
        <v>2353.9816098748488</v>
      </c>
      <c r="AF47" s="4" t="s">
        <v>597</v>
      </c>
    </row>
    <row r="48" spans="1:32" ht="11.25" customHeight="1" x14ac:dyDescent="0.3">
      <c r="A48" s="4" t="s">
        <v>21</v>
      </c>
      <c r="B48" s="4" t="s">
        <v>38</v>
      </c>
      <c r="C48" s="4" t="s">
        <v>39</v>
      </c>
      <c r="D48" s="4" t="s">
        <v>47</v>
      </c>
      <c r="E48" s="4" t="s">
        <v>48</v>
      </c>
      <c r="F48" s="4" t="s">
        <v>25</v>
      </c>
      <c r="G48" s="4" t="s">
        <v>25</v>
      </c>
      <c r="H48" s="4" t="s">
        <v>34</v>
      </c>
      <c r="I48" s="5">
        <v>44743</v>
      </c>
      <c r="J48" s="6">
        <v>0</v>
      </c>
      <c r="K48" s="52">
        <v>0</v>
      </c>
      <c r="L48" s="6">
        <v>215.82400000000001</v>
      </c>
      <c r="M48" s="52">
        <v>215.82400000000001</v>
      </c>
      <c r="N48" s="6">
        <v>215.82400000000001</v>
      </c>
      <c r="O48" s="52">
        <v>215.82400000000001</v>
      </c>
      <c r="P48" s="6">
        <v>0</v>
      </c>
      <c r="Q48" s="4" t="s">
        <v>26</v>
      </c>
      <c r="R48" s="4">
        <v>0</v>
      </c>
      <c r="S48" s="4">
        <v>0</v>
      </c>
      <c r="T48" s="4">
        <v>40</v>
      </c>
      <c r="U48" s="4">
        <v>65</v>
      </c>
      <c r="V48" s="52">
        <f>IF(ISERROR(VLOOKUP($S$48,'TAR FIN'!$A$1:$O$85,15,0)),0,VLOOKUP($S$48,'TAR FIN'!$A$1:$O$85,15,0))</f>
        <v>0</v>
      </c>
      <c r="W48" s="52">
        <f>IF(ISERROR(VLOOKUP($T$48,'TAR FIN'!$A$1:$O$85,15,0)),0,VLOOKUP($T$48,'TAR FIN'!$A$1:$O$85,15,0))*(1-0.06)</f>
        <v>87.871200000000002</v>
      </c>
      <c r="X48" s="52">
        <f>IF(ISERROR(VLOOKUP($U$48,'TAR FIN'!$A$1:$O$85,15,0)),0,VLOOKUP($U$48,'TAR FIN'!$A$1:$O$85,15,0))*(1-0.06)</f>
        <v>208.30399999999997</v>
      </c>
      <c r="Y48" s="52"/>
      <c r="Z48" s="52">
        <f ca="1">('TUSD BE'!$AM$12+'TUSD BF'!$AM$12+'TUSD CVA'!$AM$12)*1*(1-0.03)</f>
        <v>122.7846083200091</v>
      </c>
      <c r="AA48" s="52">
        <f>('TE BE'!$AB$6+'TE BF'!$AB$6+'TE CVA'!$AB$6)*1*(1-0.03)</f>
        <v>261.13311241088314</v>
      </c>
      <c r="AB48" s="52">
        <f>(SUBSIDIO!$J$48*SUBSIDIO!$V$48)*(0.06)/(1-0.06)</f>
        <v>0</v>
      </c>
      <c r="AC48" s="52">
        <f>((SUBSIDIO!$L$48*SUBSIDIO!$W$48)+(SUBSIDIO!$N$48*SUBSIDIO!$X$48))*(0.06)/(1-0.06)</f>
        <v>4080.1095552000002</v>
      </c>
      <c r="AD48" s="52">
        <f>(SUBSIDIO!$J$48*SUBSIDIO!$Y$48)*(0.03)/(1-0.03)</f>
        <v>0</v>
      </c>
      <c r="AE48" s="52">
        <f ca="1">((SUBSIDIO!$L$48*SUBSIDIO!$Z$48)+(SUBSIDIO!$N$48*SUBSIDIO!$AA$48))*(0.03)/(1-0.03)</f>
        <v>2562.6389121347656</v>
      </c>
      <c r="AF48" s="4" t="s">
        <v>597</v>
      </c>
    </row>
    <row r="49" spans="1:32" ht="11.25" customHeight="1" x14ac:dyDescent="0.3">
      <c r="A49" s="4" t="s">
        <v>21</v>
      </c>
      <c r="B49" s="4" t="s">
        <v>38</v>
      </c>
      <c r="C49" s="4" t="s">
        <v>39</v>
      </c>
      <c r="D49" s="4" t="s">
        <v>47</v>
      </c>
      <c r="E49" s="4" t="s">
        <v>48</v>
      </c>
      <c r="F49" s="4" t="s">
        <v>25</v>
      </c>
      <c r="G49" s="4" t="s">
        <v>25</v>
      </c>
      <c r="H49" s="4" t="s">
        <v>34</v>
      </c>
      <c r="I49" s="5">
        <v>44774</v>
      </c>
      <c r="J49" s="6">
        <v>0</v>
      </c>
      <c r="K49" s="52">
        <v>0</v>
      </c>
      <c r="L49" s="6">
        <v>211.61</v>
      </c>
      <c r="M49" s="52">
        <v>211.61</v>
      </c>
      <c r="N49" s="6">
        <v>211.61</v>
      </c>
      <c r="O49" s="52">
        <v>211.61</v>
      </c>
      <c r="P49" s="6">
        <v>0</v>
      </c>
      <c r="Q49" s="4" t="s">
        <v>26</v>
      </c>
      <c r="R49" s="4">
        <v>0</v>
      </c>
      <c r="S49" s="4">
        <v>0</v>
      </c>
      <c r="T49" s="4">
        <v>40</v>
      </c>
      <c r="U49" s="4">
        <v>65</v>
      </c>
      <c r="V49" s="52">
        <f>IF(ISERROR(VLOOKUP($S$49,'TAR FIN'!$A$1:$O$85,15,0)),0,VLOOKUP($S$49,'TAR FIN'!$A$1:$O$85,15,0))</f>
        <v>0</v>
      </c>
      <c r="W49" s="52">
        <f>IF(ISERROR(VLOOKUP($T$49,'TAR FIN'!$A$1:$O$85,15,0)),0,VLOOKUP($T$49,'TAR FIN'!$A$1:$O$85,15,0))*(1-0.06)</f>
        <v>87.871200000000002</v>
      </c>
      <c r="X49" s="52">
        <f>IF(ISERROR(VLOOKUP($U$49,'TAR FIN'!$A$1:$O$85,15,0)),0,VLOOKUP($U$49,'TAR FIN'!$A$1:$O$85,15,0))*(1-0.06)</f>
        <v>208.30399999999997</v>
      </c>
      <c r="Y49" s="52"/>
      <c r="Z49" s="52">
        <f ca="1">('TUSD BE'!$AM$12+'TUSD BF'!$AM$12+'TUSD CVA'!$AM$12)*1*(1-0.03)</f>
        <v>122.7846083200091</v>
      </c>
      <c r="AA49" s="52">
        <f>('TE BE'!$AB$6+'TE BF'!$AB$6+'TE CVA'!$AB$6)*1*(1-0.03)</f>
        <v>261.13311241088314</v>
      </c>
      <c r="AB49" s="52">
        <f>(SUBSIDIO!$J$49*SUBSIDIO!$V$49)*(0.06)/(1-0.06)</f>
        <v>0</v>
      </c>
      <c r="AC49" s="52">
        <f>((SUBSIDIO!$L$49*SUBSIDIO!$W$49)+(SUBSIDIO!$N$49*SUBSIDIO!$X$49))*(0.06)/(1-0.06)</f>
        <v>4000.4447279999999</v>
      </c>
      <c r="AD49" s="52">
        <f>(SUBSIDIO!$J$49*SUBSIDIO!$Y$49)*(0.03)/(1-0.03)</f>
        <v>0</v>
      </c>
      <c r="AE49" s="52">
        <f ca="1">((SUBSIDIO!$L$49*SUBSIDIO!$Z$49)+(SUBSIDIO!$N$49*SUBSIDIO!$AA$49))*(0.03)/(1-0.03)</f>
        <v>2512.6029551710549</v>
      </c>
      <c r="AF49" s="4" t="s">
        <v>597</v>
      </c>
    </row>
    <row r="50" spans="1:32" ht="11.25" customHeight="1" x14ac:dyDescent="0.3">
      <c r="A50" s="4" t="s">
        <v>21</v>
      </c>
      <c r="B50" s="4" t="s">
        <v>38</v>
      </c>
      <c r="C50" s="4" t="s">
        <v>39</v>
      </c>
      <c r="D50" s="4" t="s">
        <v>47</v>
      </c>
      <c r="E50" s="4" t="s">
        <v>48</v>
      </c>
      <c r="F50" s="4" t="s">
        <v>25</v>
      </c>
      <c r="G50" s="4" t="s">
        <v>25</v>
      </c>
      <c r="H50" s="4" t="s">
        <v>25</v>
      </c>
      <c r="I50" s="5">
        <v>44440</v>
      </c>
      <c r="J50" s="6">
        <v>906</v>
      </c>
      <c r="K50" s="53">
        <v>906</v>
      </c>
      <c r="L50" s="6">
        <v>0</v>
      </c>
      <c r="M50" s="52">
        <v>0</v>
      </c>
      <c r="N50" s="6">
        <v>0</v>
      </c>
      <c r="O50" s="52">
        <v>0</v>
      </c>
      <c r="P50" s="6">
        <v>3</v>
      </c>
      <c r="Q50" s="4" t="s">
        <v>26</v>
      </c>
      <c r="R50" s="4">
        <v>0</v>
      </c>
      <c r="S50" s="4">
        <v>47</v>
      </c>
      <c r="T50" s="4">
        <v>0</v>
      </c>
      <c r="U50" s="4">
        <v>0</v>
      </c>
      <c r="V50" s="52">
        <f>IF(ISERROR(VLOOKUP($S$50,'TAR FIN'!$A$1:$O$85,15,0)),0,VLOOKUP($S$50,'TAR FIN'!$A$1:$O$85,15,0))*(1-0.06)</f>
        <v>28.049599999999998</v>
      </c>
      <c r="W50" s="52">
        <f>IF(ISERROR(VLOOKUP($T$50,'TAR FIN'!$A$1:$O$85,15,0)),0,VLOOKUP($T$50,'TAR FIN'!$A$1:$O$85,15,0))</f>
        <v>0</v>
      </c>
      <c r="X50" s="52">
        <f>IF(ISERROR(VLOOKUP($U$50,'TAR FIN'!$A$1:$O$85,15,0)),0,VLOOKUP($U$50,'TAR FIN'!$A$1:$O$85,15,0))</f>
        <v>0</v>
      </c>
      <c r="Y50" s="52">
        <f ca="1">('TUSD BE'!$AM$10+'TUSD BF'!$AM$10+'TUSD CVA'!$AM$10)*1*(1-0.03)</f>
        <v>31.243286939352302</v>
      </c>
      <c r="Z50" s="52"/>
      <c r="AA50" s="52"/>
      <c r="AB50" s="52">
        <f>(SUBSIDIO!$J$50*SUBSIDIO!$V$50)*(0.06)/(1-0.06)</f>
        <v>1622.1024</v>
      </c>
      <c r="AC50" s="52">
        <f>((SUBSIDIO!$L$50*SUBSIDIO!$W$50)+(SUBSIDIO!$N$50*SUBSIDIO!$X$50))*(0.06)/(1-0.06)</f>
        <v>0</v>
      </c>
      <c r="AD50" s="52">
        <f ca="1">(SUBSIDIO!$J$50*SUBSIDIO!$Y$50)*(0.03)/(1-0.03)</f>
        <v>875.45622578514997</v>
      </c>
      <c r="AE50" s="52">
        <f>((SUBSIDIO!$L$50*SUBSIDIO!$Z$50)+(SUBSIDIO!$N$50*SUBSIDIO!$AA$50))*(0.03)/(1-0.03)</f>
        <v>0</v>
      </c>
      <c r="AF50" s="4" t="s">
        <v>597</v>
      </c>
    </row>
    <row r="51" spans="1:32" ht="11.25" customHeight="1" x14ac:dyDescent="0.3">
      <c r="A51" s="4" t="s">
        <v>21</v>
      </c>
      <c r="B51" s="4" t="s">
        <v>38</v>
      </c>
      <c r="C51" s="4" t="s">
        <v>39</v>
      </c>
      <c r="D51" s="4" t="s">
        <v>47</v>
      </c>
      <c r="E51" s="4" t="s">
        <v>48</v>
      </c>
      <c r="F51" s="4" t="s">
        <v>25</v>
      </c>
      <c r="G51" s="4" t="s">
        <v>25</v>
      </c>
      <c r="H51" s="4" t="s">
        <v>25</v>
      </c>
      <c r="I51" s="5">
        <v>44470</v>
      </c>
      <c r="J51" s="6">
        <v>906</v>
      </c>
      <c r="K51" s="53">
        <v>906</v>
      </c>
      <c r="L51" s="6">
        <v>0</v>
      </c>
      <c r="M51" s="52">
        <v>0</v>
      </c>
      <c r="N51" s="6">
        <v>0</v>
      </c>
      <c r="O51" s="52">
        <v>0</v>
      </c>
      <c r="P51" s="6">
        <v>3</v>
      </c>
      <c r="Q51" s="4" t="s">
        <v>26</v>
      </c>
      <c r="R51" s="4">
        <v>0</v>
      </c>
      <c r="S51" s="4">
        <v>47</v>
      </c>
      <c r="T51" s="4">
        <v>0</v>
      </c>
      <c r="U51" s="4">
        <v>0</v>
      </c>
      <c r="V51" s="52">
        <f>IF(ISERROR(VLOOKUP($S$51,'TAR FIN'!$A$1:$O$85,15,0)),0,VLOOKUP($S$51,'TAR FIN'!$A$1:$O$85,15,0))*(1-0.06)</f>
        <v>28.049599999999998</v>
      </c>
      <c r="W51" s="52">
        <f>IF(ISERROR(VLOOKUP($T$51,'TAR FIN'!$A$1:$O$85,15,0)),0,VLOOKUP($T$51,'TAR FIN'!$A$1:$O$85,15,0))</f>
        <v>0</v>
      </c>
      <c r="X51" s="52">
        <f>IF(ISERROR(VLOOKUP($U$51,'TAR FIN'!$A$1:$O$85,15,0)),0,VLOOKUP($U$51,'TAR FIN'!$A$1:$O$85,15,0))</f>
        <v>0</v>
      </c>
      <c r="Y51" s="52">
        <f ca="1">('TUSD BE'!$AM$10+'TUSD BF'!$AM$10+'TUSD CVA'!$AM$10)*1*(1-0.03)</f>
        <v>31.243286939352302</v>
      </c>
      <c r="Z51" s="52"/>
      <c r="AA51" s="52"/>
      <c r="AB51" s="52">
        <f>(SUBSIDIO!$J$51*SUBSIDIO!$V$51)*(0.06)/(1-0.06)</f>
        <v>1622.1024</v>
      </c>
      <c r="AC51" s="52">
        <f>((SUBSIDIO!$L$51*SUBSIDIO!$W$51)+(SUBSIDIO!$N$51*SUBSIDIO!$X$51))*(0.06)/(1-0.06)</f>
        <v>0</v>
      </c>
      <c r="AD51" s="52">
        <f ca="1">(SUBSIDIO!$J$51*SUBSIDIO!$Y$51)*(0.03)/(1-0.03)</f>
        <v>875.45622578514997</v>
      </c>
      <c r="AE51" s="52">
        <f>((SUBSIDIO!$L$51*SUBSIDIO!$Z$51)+(SUBSIDIO!$N$51*SUBSIDIO!$AA$51))*(0.03)/(1-0.03)</f>
        <v>0</v>
      </c>
      <c r="AF51" s="4" t="s">
        <v>597</v>
      </c>
    </row>
    <row r="52" spans="1:32" ht="11.25" customHeight="1" x14ac:dyDescent="0.3">
      <c r="A52" s="4" t="s">
        <v>21</v>
      </c>
      <c r="B52" s="4" t="s">
        <v>38</v>
      </c>
      <c r="C52" s="4" t="s">
        <v>39</v>
      </c>
      <c r="D52" s="4" t="s">
        <v>47</v>
      </c>
      <c r="E52" s="4" t="s">
        <v>48</v>
      </c>
      <c r="F52" s="4" t="s">
        <v>25</v>
      </c>
      <c r="G52" s="4" t="s">
        <v>25</v>
      </c>
      <c r="H52" s="4" t="s">
        <v>25</v>
      </c>
      <c r="I52" s="5">
        <v>44501</v>
      </c>
      <c r="J52" s="6">
        <v>906</v>
      </c>
      <c r="K52" s="53">
        <v>906</v>
      </c>
      <c r="L52" s="6">
        <v>0</v>
      </c>
      <c r="M52" s="52">
        <v>0</v>
      </c>
      <c r="N52" s="6">
        <v>0</v>
      </c>
      <c r="O52" s="52">
        <v>0</v>
      </c>
      <c r="P52" s="6">
        <v>3</v>
      </c>
      <c r="Q52" s="4" t="s">
        <v>26</v>
      </c>
      <c r="R52" s="4">
        <v>0</v>
      </c>
      <c r="S52" s="4">
        <v>47</v>
      </c>
      <c r="T52" s="4">
        <v>0</v>
      </c>
      <c r="U52" s="4">
        <v>0</v>
      </c>
      <c r="V52" s="52">
        <f>IF(ISERROR(VLOOKUP($S$52,'TAR FIN'!$A$1:$O$85,15,0)),0,VLOOKUP($S$52,'TAR FIN'!$A$1:$O$85,15,0))*(1-0.06)</f>
        <v>28.049599999999998</v>
      </c>
      <c r="W52" s="52">
        <f>IF(ISERROR(VLOOKUP($T$52,'TAR FIN'!$A$1:$O$85,15,0)),0,VLOOKUP($T$52,'TAR FIN'!$A$1:$O$85,15,0))</f>
        <v>0</v>
      </c>
      <c r="X52" s="52">
        <f>IF(ISERROR(VLOOKUP($U$52,'TAR FIN'!$A$1:$O$85,15,0)),0,VLOOKUP($U$52,'TAR FIN'!$A$1:$O$85,15,0))</f>
        <v>0</v>
      </c>
      <c r="Y52" s="52">
        <f ca="1">('TUSD BE'!$AM$10+'TUSD BF'!$AM$10+'TUSD CVA'!$AM$10)*1*(1-0.03)</f>
        <v>31.243286939352302</v>
      </c>
      <c r="Z52" s="52"/>
      <c r="AA52" s="52"/>
      <c r="AB52" s="52">
        <f>(SUBSIDIO!$J$52*SUBSIDIO!$V$52)*(0.06)/(1-0.06)</f>
        <v>1622.1024</v>
      </c>
      <c r="AC52" s="52">
        <f>((SUBSIDIO!$L$52*SUBSIDIO!$W$52)+(SUBSIDIO!$N$52*SUBSIDIO!$X$52))*(0.06)/(1-0.06)</f>
        <v>0</v>
      </c>
      <c r="AD52" s="52">
        <f ca="1">(SUBSIDIO!$J$52*SUBSIDIO!$Y$52)*(0.03)/(1-0.03)</f>
        <v>875.45622578514997</v>
      </c>
      <c r="AE52" s="52">
        <f>((SUBSIDIO!$L$52*SUBSIDIO!$Z$52)+(SUBSIDIO!$N$52*SUBSIDIO!$AA$52))*(0.03)/(1-0.03)</f>
        <v>0</v>
      </c>
      <c r="AF52" s="4" t="s">
        <v>597</v>
      </c>
    </row>
    <row r="53" spans="1:32" ht="11.25" customHeight="1" x14ac:dyDescent="0.3">
      <c r="A53" s="4" t="s">
        <v>21</v>
      </c>
      <c r="B53" s="4" t="s">
        <v>38</v>
      </c>
      <c r="C53" s="4" t="s">
        <v>39</v>
      </c>
      <c r="D53" s="4" t="s">
        <v>47</v>
      </c>
      <c r="E53" s="4" t="s">
        <v>48</v>
      </c>
      <c r="F53" s="4" t="s">
        <v>25</v>
      </c>
      <c r="G53" s="4" t="s">
        <v>25</v>
      </c>
      <c r="H53" s="4" t="s">
        <v>25</v>
      </c>
      <c r="I53" s="5">
        <v>44531</v>
      </c>
      <c r="J53" s="6">
        <v>906</v>
      </c>
      <c r="K53" s="53">
        <v>906</v>
      </c>
      <c r="L53" s="6">
        <v>0</v>
      </c>
      <c r="M53" s="52">
        <v>0</v>
      </c>
      <c r="N53" s="6">
        <v>0</v>
      </c>
      <c r="O53" s="52">
        <v>0</v>
      </c>
      <c r="P53" s="6">
        <v>3</v>
      </c>
      <c r="Q53" s="4" t="s">
        <v>26</v>
      </c>
      <c r="R53" s="4">
        <v>0</v>
      </c>
      <c r="S53" s="4">
        <v>47</v>
      </c>
      <c r="T53" s="4">
        <v>0</v>
      </c>
      <c r="U53" s="4">
        <v>0</v>
      </c>
      <c r="V53" s="52">
        <f>IF(ISERROR(VLOOKUP($S$53,'TAR FIN'!$A$1:$O$85,15,0)),0,VLOOKUP($S$53,'TAR FIN'!$A$1:$O$85,15,0))*(1-0.06)</f>
        <v>28.049599999999998</v>
      </c>
      <c r="W53" s="52">
        <f>IF(ISERROR(VLOOKUP($T$53,'TAR FIN'!$A$1:$O$85,15,0)),0,VLOOKUP($T$53,'TAR FIN'!$A$1:$O$85,15,0))</f>
        <v>0</v>
      </c>
      <c r="X53" s="52">
        <f>IF(ISERROR(VLOOKUP($U$53,'TAR FIN'!$A$1:$O$85,15,0)),0,VLOOKUP($U$53,'TAR FIN'!$A$1:$O$85,15,0))</f>
        <v>0</v>
      </c>
      <c r="Y53" s="52">
        <f ca="1">('TUSD BE'!$AM$10+'TUSD BF'!$AM$10+'TUSD CVA'!$AM$10)*1*(1-0.03)</f>
        <v>31.243286939352302</v>
      </c>
      <c r="Z53" s="52"/>
      <c r="AA53" s="52"/>
      <c r="AB53" s="52">
        <f>(SUBSIDIO!$J$53*SUBSIDIO!$V$53)*(0.06)/(1-0.06)</f>
        <v>1622.1024</v>
      </c>
      <c r="AC53" s="52">
        <f>((SUBSIDIO!$L$53*SUBSIDIO!$W$53)+(SUBSIDIO!$N$53*SUBSIDIO!$X$53))*(0.06)/(1-0.06)</f>
        <v>0</v>
      </c>
      <c r="AD53" s="52">
        <f ca="1">(SUBSIDIO!$J$53*SUBSIDIO!$Y$53)*(0.03)/(1-0.03)</f>
        <v>875.45622578514997</v>
      </c>
      <c r="AE53" s="52">
        <f>((SUBSIDIO!$L$53*SUBSIDIO!$Z$53)+(SUBSIDIO!$N$53*SUBSIDIO!$AA$53))*(0.03)/(1-0.03)</f>
        <v>0</v>
      </c>
      <c r="AF53" s="4" t="s">
        <v>597</v>
      </c>
    </row>
    <row r="54" spans="1:32" ht="11.25" customHeight="1" x14ac:dyDescent="0.3">
      <c r="A54" s="4" t="s">
        <v>21</v>
      </c>
      <c r="B54" s="4" t="s">
        <v>38</v>
      </c>
      <c r="C54" s="4" t="s">
        <v>39</v>
      </c>
      <c r="D54" s="4" t="s">
        <v>47</v>
      </c>
      <c r="E54" s="4" t="s">
        <v>48</v>
      </c>
      <c r="F54" s="4" t="s">
        <v>25</v>
      </c>
      <c r="G54" s="4" t="s">
        <v>25</v>
      </c>
      <c r="H54" s="4" t="s">
        <v>25</v>
      </c>
      <c r="I54" s="5">
        <v>44562</v>
      </c>
      <c r="J54" s="6">
        <v>556</v>
      </c>
      <c r="K54" s="53">
        <v>556</v>
      </c>
      <c r="L54" s="6">
        <v>0</v>
      </c>
      <c r="M54" s="52">
        <v>0</v>
      </c>
      <c r="N54" s="6">
        <v>0</v>
      </c>
      <c r="O54" s="52">
        <v>0</v>
      </c>
      <c r="P54" s="6">
        <v>2</v>
      </c>
      <c r="Q54" s="4" t="s">
        <v>26</v>
      </c>
      <c r="R54" s="4">
        <v>0</v>
      </c>
      <c r="S54" s="4">
        <v>47</v>
      </c>
      <c r="T54" s="4">
        <v>0</v>
      </c>
      <c r="U54" s="4">
        <v>0</v>
      </c>
      <c r="V54" s="52">
        <f>IF(ISERROR(VLOOKUP($S$54,'TAR FIN'!$A$1:$O$85,15,0)),0,VLOOKUP($S$54,'TAR FIN'!$A$1:$O$85,15,0))*(1-0.06)</f>
        <v>28.049599999999998</v>
      </c>
      <c r="W54" s="52">
        <f>IF(ISERROR(VLOOKUP($T$54,'TAR FIN'!$A$1:$O$85,15,0)),0,VLOOKUP($T$54,'TAR FIN'!$A$1:$O$85,15,0))</f>
        <v>0</v>
      </c>
      <c r="X54" s="52">
        <f>IF(ISERROR(VLOOKUP($U$54,'TAR FIN'!$A$1:$O$85,15,0)),0,VLOOKUP($U$54,'TAR FIN'!$A$1:$O$85,15,0))</f>
        <v>0</v>
      </c>
      <c r="Y54" s="52">
        <f ca="1">('TUSD BE'!$AM$10+'TUSD BF'!$AM$10+'TUSD CVA'!$AM$10)*1*(1-0.03)</f>
        <v>31.243286939352302</v>
      </c>
      <c r="Z54" s="52"/>
      <c r="AA54" s="52"/>
      <c r="AB54" s="52">
        <f>(SUBSIDIO!$J$54*SUBSIDIO!$V$54)*(0.06)/(1-0.06)</f>
        <v>995.46239999999989</v>
      </c>
      <c r="AC54" s="52">
        <f>((SUBSIDIO!$L$54*SUBSIDIO!$W$54)+(SUBSIDIO!$N$54*SUBSIDIO!$X$54))*(0.06)/(1-0.06)</f>
        <v>0</v>
      </c>
      <c r="AD54" s="52">
        <f ca="1">(SUBSIDIO!$J$54*SUBSIDIO!$Y$54)*(0.03)/(1-0.03)</f>
        <v>537.25569706020246</v>
      </c>
      <c r="AE54" s="52">
        <f>((SUBSIDIO!$L$54*SUBSIDIO!$Z$54)+(SUBSIDIO!$N$54*SUBSIDIO!$AA$54))*(0.03)/(1-0.03)</f>
        <v>0</v>
      </c>
      <c r="AF54" s="4" t="s">
        <v>597</v>
      </c>
    </row>
    <row r="55" spans="1:32" ht="11.25" customHeight="1" x14ac:dyDescent="0.3">
      <c r="A55" s="4" t="s">
        <v>21</v>
      </c>
      <c r="B55" s="4" t="s">
        <v>38</v>
      </c>
      <c r="C55" s="4" t="s">
        <v>39</v>
      </c>
      <c r="D55" s="4" t="s">
        <v>47</v>
      </c>
      <c r="E55" s="4" t="s">
        <v>48</v>
      </c>
      <c r="F55" s="4" t="s">
        <v>25</v>
      </c>
      <c r="G55" s="4" t="s">
        <v>25</v>
      </c>
      <c r="H55" s="4" t="s">
        <v>25</v>
      </c>
      <c r="I55" s="5">
        <v>44593</v>
      </c>
      <c r="J55" s="6">
        <v>556</v>
      </c>
      <c r="K55" s="53">
        <v>556</v>
      </c>
      <c r="L55" s="6">
        <v>0</v>
      </c>
      <c r="M55" s="52">
        <v>0</v>
      </c>
      <c r="N55" s="6">
        <v>0</v>
      </c>
      <c r="O55" s="52">
        <v>0</v>
      </c>
      <c r="P55" s="6">
        <v>2</v>
      </c>
      <c r="Q55" s="4" t="s">
        <v>26</v>
      </c>
      <c r="R55" s="4">
        <v>0</v>
      </c>
      <c r="S55" s="4">
        <v>47</v>
      </c>
      <c r="T55" s="4">
        <v>0</v>
      </c>
      <c r="U55" s="4">
        <v>0</v>
      </c>
      <c r="V55" s="52">
        <f>IF(ISERROR(VLOOKUP($S$55,'TAR FIN'!$A$1:$O$85,15,0)),0,VLOOKUP($S$55,'TAR FIN'!$A$1:$O$85,15,0))*(1-0.06)</f>
        <v>28.049599999999998</v>
      </c>
      <c r="W55" s="52">
        <f>IF(ISERROR(VLOOKUP($T$55,'TAR FIN'!$A$1:$O$85,15,0)),0,VLOOKUP($T$55,'TAR FIN'!$A$1:$O$85,15,0))</f>
        <v>0</v>
      </c>
      <c r="X55" s="52">
        <f>IF(ISERROR(VLOOKUP($U$55,'TAR FIN'!$A$1:$O$85,15,0)),0,VLOOKUP($U$55,'TAR FIN'!$A$1:$O$85,15,0))</f>
        <v>0</v>
      </c>
      <c r="Y55" s="52">
        <f ca="1">('TUSD BE'!$AM$10+'TUSD BF'!$AM$10+'TUSD CVA'!$AM$10)*1*(1-0.03)</f>
        <v>31.243286939352302</v>
      </c>
      <c r="Z55" s="52"/>
      <c r="AA55" s="52"/>
      <c r="AB55" s="52">
        <f>(SUBSIDIO!$J$55*SUBSIDIO!$V$55)*(0.06)/(1-0.06)</f>
        <v>995.46239999999989</v>
      </c>
      <c r="AC55" s="52">
        <f>((SUBSIDIO!$L$55*SUBSIDIO!$W$55)+(SUBSIDIO!$N$55*SUBSIDIO!$X$55))*(0.06)/(1-0.06)</f>
        <v>0</v>
      </c>
      <c r="AD55" s="52">
        <f ca="1">(SUBSIDIO!$J$55*SUBSIDIO!$Y$55)*(0.03)/(1-0.03)</f>
        <v>537.25569706020246</v>
      </c>
      <c r="AE55" s="52">
        <f>((SUBSIDIO!$L$55*SUBSIDIO!$Z$55)+(SUBSIDIO!$N$55*SUBSIDIO!$AA$55))*(0.03)/(1-0.03)</f>
        <v>0</v>
      </c>
      <c r="AF55" s="4" t="s">
        <v>597</v>
      </c>
    </row>
    <row r="56" spans="1:32" ht="11.25" customHeight="1" x14ac:dyDescent="0.3">
      <c r="A56" s="4" t="s">
        <v>21</v>
      </c>
      <c r="B56" s="4" t="s">
        <v>38</v>
      </c>
      <c r="C56" s="4" t="s">
        <v>39</v>
      </c>
      <c r="D56" s="4" t="s">
        <v>47</v>
      </c>
      <c r="E56" s="4" t="s">
        <v>48</v>
      </c>
      <c r="F56" s="4" t="s">
        <v>25</v>
      </c>
      <c r="G56" s="4" t="s">
        <v>25</v>
      </c>
      <c r="H56" s="4" t="s">
        <v>25</v>
      </c>
      <c r="I56" s="5">
        <v>44621</v>
      </c>
      <c r="J56" s="6">
        <v>556</v>
      </c>
      <c r="K56" s="53">
        <v>556</v>
      </c>
      <c r="L56" s="6">
        <v>0</v>
      </c>
      <c r="M56" s="52">
        <v>0</v>
      </c>
      <c r="N56" s="6">
        <v>0</v>
      </c>
      <c r="O56" s="52">
        <v>0</v>
      </c>
      <c r="P56" s="6">
        <v>2</v>
      </c>
      <c r="Q56" s="4" t="s">
        <v>26</v>
      </c>
      <c r="R56" s="4">
        <v>0</v>
      </c>
      <c r="S56" s="4">
        <v>47</v>
      </c>
      <c r="T56" s="4">
        <v>0</v>
      </c>
      <c r="U56" s="4">
        <v>0</v>
      </c>
      <c r="V56" s="52">
        <f>IF(ISERROR(VLOOKUP($S$56,'TAR FIN'!$A$1:$O$85,15,0)),0,VLOOKUP($S$56,'TAR FIN'!$A$1:$O$85,15,0))*(1-0.06)</f>
        <v>28.049599999999998</v>
      </c>
      <c r="W56" s="52">
        <f>IF(ISERROR(VLOOKUP($T$56,'TAR FIN'!$A$1:$O$85,15,0)),0,VLOOKUP($T$56,'TAR FIN'!$A$1:$O$85,15,0))</f>
        <v>0</v>
      </c>
      <c r="X56" s="52">
        <f>IF(ISERROR(VLOOKUP($U$56,'TAR FIN'!$A$1:$O$85,15,0)),0,VLOOKUP($U$56,'TAR FIN'!$A$1:$O$85,15,0))</f>
        <v>0</v>
      </c>
      <c r="Y56" s="52">
        <f ca="1">('TUSD BE'!$AM$10+'TUSD BF'!$AM$10+'TUSD CVA'!$AM$10)*1*(1-0.03)</f>
        <v>31.243286939352302</v>
      </c>
      <c r="Z56" s="52"/>
      <c r="AA56" s="52"/>
      <c r="AB56" s="52">
        <f>(SUBSIDIO!$J$56*SUBSIDIO!$V$56)*(0.06)/(1-0.06)</f>
        <v>995.46239999999989</v>
      </c>
      <c r="AC56" s="52">
        <f>((SUBSIDIO!$L$56*SUBSIDIO!$W$56)+(SUBSIDIO!$N$56*SUBSIDIO!$X$56))*(0.06)/(1-0.06)</f>
        <v>0</v>
      </c>
      <c r="AD56" s="52">
        <f ca="1">(SUBSIDIO!$J$56*SUBSIDIO!$Y$56)*(0.03)/(1-0.03)</f>
        <v>537.25569706020246</v>
      </c>
      <c r="AE56" s="52">
        <f>((SUBSIDIO!$L$56*SUBSIDIO!$Z$56)+(SUBSIDIO!$N$56*SUBSIDIO!$AA$56))*(0.03)/(1-0.03)</f>
        <v>0</v>
      </c>
      <c r="AF56" s="4" t="s">
        <v>597</v>
      </c>
    </row>
    <row r="57" spans="1:32" ht="11.25" customHeight="1" x14ac:dyDescent="0.3">
      <c r="A57" s="4" t="s">
        <v>21</v>
      </c>
      <c r="B57" s="4" t="s">
        <v>38</v>
      </c>
      <c r="C57" s="4" t="s">
        <v>39</v>
      </c>
      <c r="D57" s="4" t="s">
        <v>47</v>
      </c>
      <c r="E57" s="4" t="s">
        <v>48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556</v>
      </c>
      <c r="K57" s="53">
        <v>556</v>
      </c>
      <c r="L57" s="6">
        <v>0</v>
      </c>
      <c r="M57" s="52">
        <v>0</v>
      </c>
      <c r="N57" s="6">
        <v>0</v>
      </c>
      <c r="O57" s="52">
        <v>0</v>
      </c>
      <c r="P57" s="6">
        <v>2</v>
      </c>
      <c r="Q57" s="4" t="s">
        <v>26</v>
      </c>
      <c r="R57" s="4">
        <v>0</v>
      </c>
      <c r="S57" s="4">
        <v>47</v>
      </c>
      <c r="T57" s="4">
        <v>0</v>
      </c>
      <c r="U57" s="4">
        <v>0</v>
      </c>
      <c r="V57" s="52">
        <f>IF(ISERROR(VLOOKUP($S$57,'TAR FIN'!$A$1:$O$85,15,0)),0,VLOOKUP($S$57,'TAR FIN'!$A$1:$O$85,15,0))*(1-0.06)</f>
        <v>28.049599999999998</v>
      </c>
      <c r="W57" s="52">
        <f>IF(ISERROR(VLOOKUP($T$57,'TAR FIN'!$A$1:$O$85,15,0)),0,VLOOKUP($T$57,'TAR FIN'!$A$1:$O$85,15,0))</f>
        <v>0</v>
      </c>
      <c r="X57" s="52">
        <f>IF(ISERROR(VLOOKUP($U$57,'TAR FIN'!$A$1:$O$85,15,0)),0,VLOOKUP($U$57,'TAR FIN'!$A$1:$O$85,15,0))</f>
        <v>0</v>
      </c>
      <c r="Y57" s="52">
        <f ca="1">('TUSD BE'!$AM$10+'TUSD BF'!$AM$10+'TUSD CVA'!$AM$10)*1*(1-0.03)</f>
        <v>31.243286939352302</v>
      </c>
      <c r="Z57" s="52"/>
      <c r="AA57" s="52"/>
      <c r="AB57" s="52">
        <f>(SUBSIDIO!$J$57*SUBSIDIO!$V$57)*(0.06)/(1-0.06)</f>
        <v>995.46239999999989</v>
      </c>
      <c r="AC57" s="52">
        <f>((SUBSIDIO!$L$57*SUBSIDIO!$W$57)+(SUBSIDIO!$N$57*SUBSIDIO!$X$57))*(0.06)/(1-0.06)</f>
        <v>0</v>
      </c>
      <c r="AD57" s="52">
        <f ca="1">(SUBSIDIO!$J$57*SUBSIDIO!$Y$57)*(0.03)/(1-0.03)</f>
        <v>537.25569706020246</v>
      </c>
      <c r="AE57" s="52">
        <f>((SUBSIDIO!$L$57*SUBSIDIO!$Z$57)+(SUBSIDIO!$N$57*SUBSIDIO!$AA$57))*(0.03)/(1-0.03)</f>
        <v>0</v>
      </c>
      <c r="AF57" s="4" t="s">
        <v>597</v>
      </c>
    </row>
    <row r="58" spans="1:32" ht="11.25" customHeight="1" x14ac:dyDescent="0.3">
      <c r="A58" s="4" t="s">
        <v>21</v>
      </c>
      <c r="B58" s="4" t="s">
        <v>38</v>
      </c>
      <c r="C58" s="4" t="s">
        <v>39</v>
      </c>
      <c r="D58" s="4" t="s">
        <v>47</v>
      </c>
      <c r="E58" s="4" t="s">
        <v>48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556</v>
      </c>
      <c r="K58" s="53">
        <v>556</v>
      </c>
      <c r="L58" s="6">
        <v>0</v>
      </c>
      <c r="M58" s="52">
        <v>0</v>
      </c>
      <c r="N58" s="6">
        <v>0</v>
      </c>
      <c r="O58" s="52">
        <v>0</v>
      </c>
      <c r="P58" s="6">
        <v>2</v>
      </c>
      <c r="Q58" s="4" t="s">
        <v>26</v>
      </c>
      <c r="R58" s="4">
        <v>0</v>
      </c>
      <c r="S58" s="4">
        <v>47</v>
      </c>
      <c r="T58" s="4">
        <v>0</v>
      </c>
      <c r="U58" s="4">
        <v>0</v>
      </c>
      <c r="V58" s="52">
        <f>IF(ISERROR(VLOOKUP($S$58,'TAR FIN'!$A$1:$O$85,15,0)),0,VLOOKUP($S$58,'TAR FIN'!$A$1:$O$85,15,0))*(1-0.06)</f>
        <v>28.049599999999998</v>
      </c>
      <c r="W58" s="52">
        <f>IF(ISERROR(VLOOKUP($T$58,'TAR FIN'!$A$1:$O$85,15,0)),0,VLOOKUP($T$58,'TAR FIN'!$A$1:$O$85,15,0))</f>
        <v>0</v>
      </c>
      <c r="X58" s="52">
        <f>IF(ISERROR(VLOOKUP($U$58,'TAR FIN'!$A$1:$O$85,15,0)),0,VLOOKUP($U$58,'TAR FIN'!$A$1:$O$85,15,0))</f>
        <v>0</v>
      </c>
      <c r="Y58" s="52">
        <f ca="1">('TUSD BE'!$AM$10+'TUSD BF'!$AM$10+'TUSD CVA'!$AM$10)*1*(1-0.03)</f>
        <v>31.243286939352302</v>
      </c>
      <c r="Z58" s="52"/>
      <c r="AA58" s="52"/>
      <c r="AB58" s="52">
        <f>(SUBSIDIO!$J$58*SUBSIDIO!$V$58)*(0.06)/(1-0.06)</f>
        <v>995.46239999999989</v>
      </c>
      <c r="AC58" s="52">
        <f>((SUBSIDIO!$L$58*SUBSIDIO!$W$58)+(SUBSIDIO!$N$58*SUBSIDIO!$X$58))*(0.06)/(1-0.06)</f>
        <v>0</v>
      </c>
      <c r="AD58" s="52">
        <f ca="1">(SUBSIDIO!$J$58*SUBSIDIO!$Y$58)*(0.03)/(1-0.03)</f>
        <v>537.25569706020246</v>
      </c>
      <c r="AE58" s="52">
        <f>((SUBSIDIO!$L$58*SUBSIDIO!$Z$58)+(SUBSIDIO!$N$58*SUBSIDIO!$AA$58))*(0.03)/(1-0.03)</f>
        <v>0</v>
      </c>
      <c r="AF58" s="4" t="s">
        <v>597</v>
      </c>
    </row>
    <row r="59" spans="1:32" ht="11.25" customHeight="1" x14ac:dyDescent="0.3">
      <c r="A59" s="4" t="s">
        <v>21</v>
      </c>
      <c r="B59" s="4" t="s">
        <v>38</v>
      </c>
      <c r="C59" s="4" t="s">
        <v>39</v>
      </c>
      <c r="D59" s="4" t="s">
        <v>47</v>
      </c>
      <c r="E59" s="4" t="s">
        <v>48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556</v>
      </c>
      <c r="K59" s="53">
        <v>556</v>
      </c>
      <c r="L59" s="6">
        <v>0</v>
      </c>
      <c r="M59" s="52">
        <v>0</v>
      </c>
      <c r="N59" s="6">
        <v>0</v>
      </c>
      <c r="O59" s="52">
        <v>0</v>
      </c>
      <c r="P59" s="6">
        <v>2</v>
      </c>
      <c r="Q59" s="4" t="s">
        <v>26</v>
      </c>
      <c r="R59" s="4">
        <v>0</v>
      </c>
      <c r="S59" s="4">
        <v>47</v>
      </c>
      <c r="T59" s="4">
        <v>0</v>
      </c>
      <c r="U59" s="4">
        <v>0</v>
      </c>
      <c r="V59" s="52">
        <f>IF(ISERROR(VLOOKUP($S$59,'TAR FIN'!$A$1:$O$85,15,0)),0,VLOOKUP($S$59,'TAR FIN'!$A$1:$O$85,15,0))*(1-0.06)</f>
        <v>28.049599999999998</v>
      </c>
      <c r="W59" s="52">
        <f>IF(ISERROR(VLOOKUP($T$59,'TAR FIN'!$A$1:$O$85,15,0)),0,VLOOKUP($T$59,'TAR FIN'!$A$1:$O$85,15,0))</f>
        <v>0</v>
      </c>
      <c r="X59" s="52">
        <f>IF(ISERROR(VLOOKUP($U$59,'TAR FIN'!$A$1:$O$85,15,0)),0,VLOOKUP($U$59,'TAR FIN'!$A$1:$O$85,15,0))</f>
        <v>0</v>
      </c>
      <c r="Y59" s="52">
        <f ca="1">('TUSD BE'!$AM$10+'TUSD BF'!$AM$10+'TUSD CVA'!$AM$10)*1*(1-0.03)</f>
        <v>31.243286939352302</v>
      </c>
      <c r="Z59" s="52"/>
      <c r="AA59" s="52"/>
      <c r="AB59" s="52">
        <f>(SUBSIDIO!$J$59*SUBSIDIO!$V$59)*(0.06)/(1-0.06)</f>
        <v>995.46239999999989</v>
      </c>
      <c r="AC59" s="52">
        <f>((SUBSIDIO!$L$59*SUBSIDIO!$W$59)+(SUBSIDIO!$N$59*SUBSIDIO!$X$59))*(0.06)/(1-0.06)</f>
        <v>0</v>
      </c>
      <c r="AD59" s="52">
        <f ca="1">(SUBSIDIO!$J$59*SUBSIDIO!$Y$59)*(0.03)/(1-0.03)</f>
        <v>537.25569706020246</v>
      </c>
      <c r="AE59" s="52">
        <f>((SUBSIDIO!$L$59*SUBSIDIO!$Z$59)+(SUBSIDIO!$N$59*SUBSIDIO!$AA$59))*(0.03)/(1-0.03)</f>
        <v>0</v>
      </c>
      <c r="AF59" s="4" t="s">
        <v>597</v>
      </c>
    </row>
    <row r="60" spans="1:32" ht="11.25" customHeight="1" x14ac:dyDescent="0.3">
      <c r="A60" s="4" t="s">
        <v>21</v>
      </c>
      <c r="B60" s="4" t="s">
        <v>38</v>
      </c>
      <c r="C60" s="4" t="s">
        <v>39</v>
      </c>
      <c r="D60" s="4" t="s">
        <v>47</v>
      </c>
      <c r="E60" s="4" t="s">
        <v>48</v>
      </c>
      <c r="F60" s="4" t="s">
        <v>25</v>
      </c>
      <c r="G60" s="4" t="s">
        <v>25</v>
      </c>
      <c r="H60" s="4" t="s">
        <v>25</v>
      </c>
      <c r="I60" s="5">
        <v>44743</v>
      </c>
      <c r="J60" s="6">
        <v>557</v>
      </c>
      <c r="K60" s="53">
        <v>557</v>
      </c>
      <c r="L60" s="6">
        <v>0</v>
      </c>
      <c r="M60" s="52">
        <v>0</v>
      </c>
      <c r="N60" s="6">
        <v>0</v>
      </c>
      <c r="O60" s="52">
        <v>0</v>
      </c>
      <c r="P60" s="6">
        <v>2</v>
      </c>
      <c r="Q60" s="4" t="s">
        <v>26</v>
      </c>
      <c r="R60" s="4">
        <v>0</v>
      </c>
      <c r="S60" s="4">
        <v>47</v>
      </c>
      <c r="T60" s="4">
        <v>0</v>
      </c>
      <c r="U60" s="4">
        <v>0</v>
      </c>
      <c r="V60" s="52">
        <f>IF(ISERROR(VLOOKUP($S$60,'TAR FIN'!$A$1:$O$85,15,0)),0,VLOOKUP($S$60,'TAR FIN'!$A$1:$O$85,15,0))*(1-0.06)</f>
        <v>28.049599999999998</v>
      </c>
      <c r="W60" s="52">
        <f>IF(ISERROR(VLOOKUP($T$60,'TAR FIN'!$A$1:$O$85,15,0)),0,VLOOKUP($T$60,'TAR FIN'!$A$1:$O$85,15,0))</f>
        <v>0</v>
      </c>
      <c r="X60" s="52">
        <f>IF(ISERROR(VLOOKUP($U$60,'TAR FIN'!$A$1:$O$85,15,0)),0,VLOOKUP($U$60,'TAR FIN'!$A$1:$O$85,15,0))</f>
        <v>0</v>
      </c>
      <c r="Y60" s="52">
        <f ca="1">('TUSD BE'!$AM$10+'TUSD BF'!$AM$10+'TUSD CVA'!$AM$10)*1*(1-0.03)</f>
        <v>31.243286939352302</v>
      </c>
      <c r="Z60" s="52"/>
      <c r="AA60" s="52"/>
      <c r="AB60" s="52">
        <f>(SUBSIDIO!$J$60*SUBSIDIO!$V$60)*(0.06)/(1-0.06)</f>
        <v>997.25279999999998</v>
      </c>
      <c r="AC60" s="52">
        <f>((SUBSIDIO!$L$60*SUBSIDIO!$W$60)+(SUBSIDIO!$N$60*SUBSIDIO!$X$60))*(0.06)/(1-0.06)</f>
        <v>0</v>
      </c>
      <c r="AD60" s="52">
        <f ca="1">(SUBSIDIO!$J$60*SUBSIDIO!$Y$60)*(0.03)/(1-0.03)</f>
        <v>538.22198428513093</v>
      </c>
      <c r="AE60" s="52">
        <f>((SUBSIDIO!$L$60*SUBSIDIO!$Z$60)+(SUBSIDIO!$N$60*SUBSIDIO!$AA$60))*(0.03)/(1-0.03)</f>
        <v>0</v>
      </c>
      <c r="AF60" s="4" t="s">
        <v>597</v>
      </c>
    </row>
    <row r="61" spans="1:32" ht="11.25" customHeight="1" x14ac:dyDescent="0.3">
      <c r="A61" s="4" t="s">
        <v>21</v>
      </c>
      <c r="B61" s="4" t="s">
        <v>38</v>
      </c>
      <c r="C61" s="4" t="s">
        <v>39</v>
      </c>
      <c r="D61" s="4" t="s">
        <v>47</v>
      </c>
      <c r="E61" s="4" t="s">
        <v>48</v>
      </c>
      <c r="F61" s="4" t="s">
        <v>25</v>
      </c>
      <c r="G61" s="4" t="s">
        <v>25</v>
      </c>
      <c r="H61" s="4" t="s">
        <v>25</v>
      </c>
      <c r="I61" s="5">
        <v>44774</v>
      </c>
      <c r="J61" s="6">
        <v>556</v>
      </c>
      <c r="K61" s="53">
        <v>556</v>
      </c>
      <c r="L61" s="6">
        <v>0</v>
      </c>
      <c r="M61" s="52">
        <v>0</v>
      </c>
      <c r="N61" s="6">
        <v>0</v>
      </c>
      <c r="O61" s="52">
        <v>0</v>
      </c>
      <c r="P61" s="6">
        <v>2</v>
      </c>
      <c r="Q61" s="4" t="s">
        <v>26</v>
      </c>
      <c r="R61" s="4">
        <v>0</v>
      </c>
      <c r="S61" s="4">
        <v>47</v>
      </c>
      <c r="T61" s="4">
        <v>0</v>
      </c>
      <c r="U61" s="4">
        <v>0</v>
      </c>
      <c r="V61" s="52">
        <f>IF(ISERROR(VLOOKUP($S$61,'TAR FIN'!$A$1:$O$85,15,0)),0,VLOOKUP($S$61,'TAR FIN'!$A$1:$O$85,15,0))*(1-0.06)</f>
        <v>28.049599999999998</v>
      </c>
      <c r="W61" s="52">
        <f>IF(ISERROR(VLOOKUP($T$61,'TAR FIN'!$A$1:$O$85,15,0)),0,VLOOKUP($T$61,'TAR FIN'!$A$1:$O$85,15,0))</f>
        <v>0</v>
      </c>
      <c r="X61" s="52">
        <f>IF(ISERROR(VLOOKUP($U$61,'TAR FIN'!$A$1:$O$85,15,0)),0,VLOOKUP($U$61,'TAR FIN'!$A$1:$O$85,15,0))</f>
        <v>0</v>
      </c>
      <c r="Y61" s="52">
        <f ca="1">('TUSD BE'!$AM$10+'TUSD BF'!$AM$10+'TUSD CVA'!$AM$10)*1*(1-0.03)</f>
        <v>31.243286939352302</v>
      </c>
      <c r="Z61" s="52"/>
      <c r="AA61" s="52"/>
      <c r="AB61" s="52">
        <f>(SUBSIDIO!$J$61*SUBSIDIO!$V$61)*(0.06)/(1-0.06)</f>
        <v>995.46239999999989</v>
      </c>
      <c r="AC61" s="52">
        <f>((SUBSIDIO!$L$61*SUBSIDIO!$W$61)+(SUBSIDIO!$N$61*SUBSIDIO!$X$61))*(0.06)/(1-0.06)</f>
        <v>0</v>
      </c>
      <c r="AD61" s="52">
        <f ca="1">(SUBSIDIO!$J$61*SUBSIDIO!$Y$61)*(0.03)/(1-0.03)</f>
        <v>537.25569706020246</v>
      </c>
      <c r="AE61" s="52">
        <f>((SUBSIDIO!$L$61*SUBSIDIO!$Z$61)+(SUBSIDIO!$N$61*SUBSIDIO!$AA$61))*(0.03)/(1-0.03)</f>
        <v>0</v>
      </c>
      <c r="AF61" s="4" t="s">
        <v>597</v>
      </c>
    </row>
    <row r="62" spans="1:32" ht="11.25" customHeight="1" x14ac:dyDescent="0.3">
      <c r="A62" s="4" t="s">
        <v>21</v>
      </c>
      <c r="B62" s="4" t="s">
        <v>38</v>
      </c>
      <c r="C62" s="4" t="s">
        <v>39</v>
      </c>
      <c r="D62" s="4" t="s">
        <v>47</v>
      </c>
      <c r="E62" s="4" t="s">
        <v>48</v>
      </c>
      <c r="F62" s="4" t="s">
        <v>25</v>
      </c>
      <c r="G62" s="4" t="s">
        <v>25</v>
      </c>
      <c r="H62" s="4" t="s">
        <v>40</v>
      </c>
      <c r="I62" s="5">
        <v>44440</v>
      </c>
      <c r="J62" s="6">
        <v>0</v>
      </c>
      <c r="K62" s="52">
        <v>0</v>
      </c>
      <c r="L62" s="6">
        <v>21.111000000000001</v>
      </c>
      <c r="M62" s="52">
        <v>21.111000000000001</v>
      </c>
      <c r="N62" s="6">
        <v>21.111000000000001</v>
      </c>
      <c r="O62" s="52">
        <v>21.111000000000001</v>
      </c>
      <c r="P62" s="6">
        <v>0</v>
      </c>
      <c r="Q62" s="4" t="s">
        <v>26</v>
      </c>
      <c r="R62" s="4">
        <v>0</v>
      </c>
      <c r="S62" s="4">
        <v>0</v>
      </c>
      <c r="T62" s="4">
        <v>35</v>
      </c>
      <c r="U62" s="4">
        <v>79</v>
      </c>
      <c r="V62" s="52">
        <f>IF(ISERROR(VLOOKUP($S$62,'TAR FIN'!$A$1:$O$85,15,0)),0,VLOOKUP($S$62,'TAR FIN'!$A$1:$O$85,15,0))</f>
        <v>0</v>
      </c>
      <c r="W62" s="52">
        <f>IF(ISERROR(VLOOKUP($T$62,'TAR FIN'!$A$1:$O$85,15,0)),0,VLOOKUP($T$62,'TAR FIN'!$A$1:$O$85,15,0))*(1-0.06)</f>
        <v>2246.1299999999997</v>
      </c>
      <c r="X62" s="52">
        <f>IF(ISERROR(VLOOKUP($U$62,'TAR FIN'!$A$1:$O$85,15,0)),0,VLOOKUP($U$62,'TAR FIN'!$A$1:$O$85,15,0))*(1-0.06)</f>
        <v>208.30399999999997</v>
      </c>
      <c r="Y62" s="52"/>
      <c r="Z62" s="52">
        <f ca="1">('TUSD BE'!$AM$11+'TUSD BF'!$AM$11+'TUSD CVA'!$AM$11)*1*(1-0.03)</f>
        <v>2460.184007851436</v>
      </c>
      <c r="AA62" s="52">
        <f>('TE BE'!$AB$5+'TE BF'!$AB$5+'TE CVA'!$AB$5)*1*(1-0.03)</f>
        <v>261.13311241088314</v>
      </c>
      <c r="AB62" s="52">
        <f>(SUBSIDIO!$J$62*SUBSIDIO!$V$62)*(0.06)/(1-0.06)</f>
        <v>0</v>
      </c>
      <c r="AC62" s="52">
        <f>((SUBSIDIO!$L$62*SUBSIDIO!$W$62)+(SUBSIDIO!$N$62*SUBSIDIO!$X$62))*(0.06)/(1-0.06)</f>
        <v>3307.3759259999997</v>
      </c>
      <c r="AD62" s="52">
        <f>(SUBSIDIO!$J$62*SUBSIDIO!$Y$62)*(0.03)/(1-0.03)</f>
        <v>0</v>
      </c>
      <c r="AE62" s="52">
        <f ca="1">((SUBSIDIO!$L$62*SUBSIDIO!$Z$62)+(SUBSIDIO!$N$62*SUBSIDIO!$AA$62))*(0.03)/(1-0.03)</f>
        <v>1776.7956410059121</v>
      </c>
      <c r="AF62" s="4" t="s">
        <v>597</v>
      </c>
    </row>
    <row r="63" spans="1:32" ht="11.25" customHeight="1" x14ac:dyDescent="0.3">
      <c r="A63" s="4" t="s">
        <v>21</v>
      </c>
      <c r="B63" s="4" t="s">
        <v>38</v>
      </c>
      <c r="C63" s="4" t="s">
        <v>39</v>
      </c>
      <c r="D63" s="4" t="s">
        <v>47</v>
      </c>
      <c r="E63" s="4" t="s">
        <v>48</v>
      </c>
      <c r="F63" s="4" t="s">
        <v>25</v>
      </c>
      <c r="G63" s="4" t="s">
        <v>25</v>
      </c>
      <c r="H63" s="4" t="s">
        <v>40</v>
      </c>
      <c r="I63" s="5">
        <v>44470</v>
      </c>
      <c r="J63" s="6">
        <v>0</v>
      </c>
      <c r="K63" s="52">
        <v>0</v>
      </c>
      <c r="L63" s="6">
        <v>19.920999999999999</v>
      </c>
      <c r="M63" s="52">
        <v>19.920999999999999</v>
      </c>
      <c r="N63" s="6">
        <v>19.920999999999999</v>
      </c>
      <c r="O63" s="52">
        <v>19.920999999999999</v>
      </c>
      <c r="P63" s="6">
        <v>0</v>
      </c>
      <c r="Q63" s="4" t="s">
        <v>26</v>
      </c>
      <c r="R63" s="4">
        <v>0</v>
      </c>
      <c r="S63" s="4">
        <v>0</v>
      </c>
      <c r="T63" s="4">
        <v>35</v>
      </c>
      <c r="U63" s="4">
        <v>79</v>
      </c>
      <c r="V63" s="52">
        <f>IF(ISERROR(VLOOKUP($S$63,'TAR FIN'!$A$1:$O$85,15,0)),0,VLOOKUP($S$63,'TAR FIN'!$A$1:$O$85,15,0))</f>
        <v>0</v>
      </c>
      <c r="W63" s="52">
        <f>IF(ISERROR(VLOOKUP($T$63,'TAR FIN'!$A$1:$O$85,15,0)),0,VLOOKUP($T$63,'TAR FIN'!$A$1:$O$85,15,0))*(1-0.06)</f>
        <v>2246.1299999999997</v>
      </c>
      <c r="X63" s="52">
        <f>IF(ISERROR(VLOOKUP($U$63,'TAR FIN'!$A$1:$O$85,15,0)),0,VLOOKUP($U$63,'TAR FIN'!$A$1:$O$85,15,0))*(1-0.06)</f>
        <v>208.30399999999997</v>
      </c>
      <c r="Y63" s="52"/>
      <c r="Z63" s="52">
        <f ca="1">('TUSD BE'!$AM$11+'TUSD BF'!$AM$11+'TUSD CVA'!$AM$11)*1*(1-0.03)</f>
        <v>2460.184007851436</v>
      </c>
      <c r="AA63" s="52">
        <f>('TE BE'!$AB$5+'TE BF'!$AB$5+'TE CVA'!$AB$5)*1*(1-0.03)</f>
        <v>261.13311241088314</v>
      </c>
      <c r="AB63" s="52">
        <f>(SUBSIDIO!$J$63*SUBSIDIO!$V$63)*(0.06)/(1-0.06)</f>
        <v>0</v>
      </c>
      <c r="AC63" s="52">
        <f>((SUBSIDIO!$L$63*SUBSIDIO!$W$63)+(SUBSIDIO!$N$63*SUBSIDIO!$X$63))*(0.06)/(1-0.06)</f>
        <v>3120.943385999999</v>
      </c>
      <c r="AD63" s="52">
        <f>(SUBSIDIO!$J$63*SUBSIDIO!$Y$63)*(0.03)/(1-0.03)</f>
        <v>0</v>
      </c>
      <c r="AE63" s="52">
        <f ca="1">((SUBSIDIO!$L$63*SUBSIDIO!$Z$63)+(SUBSIDIO!$N$63*SUBSIDIO!$AA$63))*(0.03)/(1-0.03)</f>
        <v>1676.6399490539895</v>
      </c>
      <c r="AF63" s="4" t="s">
        <v>597</v>
      </c>
    </row>
    <row r="64" spans="1:32" ht="11.25" customHeight="1" x14ac:dyDescent="0.3">
      <c r="A64" s="4" t="s">
        <v>21</v>
      </c>
      <c r="B64" s="4" t="s">
        <v>38</v>
      </c>
      <c r="C64" s="4" t="s">
        <v>39</v>
      </c>
      <c r="D64" s="4" t="s">
        <v>47</v>
      </c>
      <c r="E64" s="4" t="s">
        <v>48</v>
      </c>
      <c r="F64" s="4" t="s">
        <v>25</v>
      </c>
      <c r="G64" s="4" t="s">
        <v>25</v>
      </c>
      <c r="H64" s="4" t="s">
        <v>40</v>
      </c>
      <c r="I64" s="5">
        <v>44501</v>
      </c>
      <c r="J64" s="6">
        <v>0</v>
      </c>
      <c r="K64" s="52">
        <v>0</v>
      </c>
      <c r="L64" s="6">
        <v>19.634</v>
      </c>
      <c r="M64" s="52">
        <v>19.634</v>
      </c>
      <c r="N64" s="6">
        <v>19.634</v>
      </c>
      <c r="O64" s="52">
        <v>19.634</v>
      </c>
      <c r="P64" s="6">
        <v>0</v>
      </c>
      <c r="Q64" s="4" t="s">
        <v>26</v>
      </c>
      <c r="R64" s="4">
        <v>0</v>
      </c>
      <c r="S64" s="4">
        <v>0</v>
      </c>
      <c r="T64" s="4">
        <v>35</v>
      </c>
      <c r="U64" s="4">
        <v>79</v>
      </c>
      <c r="V64" s="52">
        <f>IF(ISERROR(VLOOKUP($S$64,'TAR FIN'!$A$1:$O$85,15,0)),0,VLOOKUP($S$64,'TAR FIN'!$A$1:$O$85,15,0))</f>
        <v>0</v>
      </c>
      <c r="W64" s="52">
        <f>IF(ISERROR(VLOOKUP($T$64,'TAR FIN'!$A$1:$O$85,15,0)),0,VLOOKUP($T$64,'TAR FIN'!$A$1:$O$85,15,0))*(1-0.06)</f>
        <v>2246.1299999999997</v>
      </c>
      <c r="X64" s="52">
        <f>IF(ISERROR(VLOOKUP($U$64,'TAR FIN'!$A$1:$O$85,15,0)),0,VLOOKUP($U$64,'TAR FIN'!$A$1:$O$85,15,0))*(1-0.06)</f>
        <v>208.30399999999997</v>
      </c>
      <c r="Y64" s="52"/>
      <c r="Z64" s="52">
        <f ca="1">('TUSD BE'!$AM$11+'TUSD BF'!$AM$11+'TUSD CVA'!$AM$11)*1*(1-0.03)</f>
        <v>2460.184007851436</v>
      </c>
      <c r="AA64" s="52">
        <f>('TE BE'!$AB$5+'TE BF'!$AB$5+'TE CVA'!$AB$5)*1*(1-0.03)</f>
        <v>261.13311241088314</v>
      </c>
      <c r="AB64" s="52">
        <f>(SUBSIDIO!$J$64*SUBSIDIO!$V$64)*(0.06)/(1-0.06)</f>
        <v>0</v>
      </c>
      <c r="AC64" s="52">
        <f>((SUBSIDIO!$L$64*SUBSIDIO!$W$64)+(SUBSIDIO!$N$64*SUBSIDIO!$X$64))*(0.06)/(1-0.06)</f>
        <v>3075.9802439999994</v>
      </c>
      <c r="AD64" s="52">
        <f>(SUBSIDIO!$J$64*SUBSIDIO!$Y$64)*(0.03)/(1-0.03)</f>
        <v>0</v>
      </c>
      <c r="AE64" s="52">
        <f ca="1">((SUBSIDIO!$L$64*SUBSIDIO!$Z$64)+(SUBSIDIO!$N$64*SUBSIDIO!$AA$64))*(0.03)/(1-0.03)</f>
        <v>1652.4847527597021</v>
      </c>
      <c r="AF64" s="4" t="s">
        <v>597</v>
      </c>
    </row>
    <row r="65" spans="1:32" ht="11.25" customHeight="1" x14ac:dyDescent="0.3">
      <c r="A65" s="4" t="s">
        <v>21</v>
      </c>
      <c r="B65" s="4" t="s">
        <v>38</v>
      </c>
      <c r="C65" s="4" t="s">
        <v>39</v>
      </c>
      <c r="D65" s="4" t="s">
        <v>47</v>
      </c>
      <c r="E65" s="4" t="s">
        <v>48</v>
      </c>
      <c r="F65" s="4" t="s">
        <v>25</v>
      </c>
      <c r="G65" s="4" t="s">
        <v>25</v>
      </c>
      <c r="H65" s="4" t="s">
        <v>40</v>
      </c>
      <c r="I65" s="5">
        <v>44531</v>
      </c>
      <c r="J65" s="6">
        <v>0</v>
      </c>
      <c r="K65" s="52">
        <v>0</v>
      </c>
      <c r="L65" s="6">
        <v>22.725999999999999</v>
      </c>
      <c r="M65" s="52">
        <v>22.725999999999999</v>
      </c>
      <c r="N65" s="6">
        <v>22.725999999999999</v>
      </c>
      <c r="O65" s="52">
        <v>22.725999999999999</v>
      </c>
      <c r="P65" s="6">
        <v>0</v>
      </c>
      <c r="Q65" s="4" t="s">
        <v>26</v>
      </c>
      <c r="R65" s="4">
        <v>0</v>
      </c>
      <c r="S65" s="4">
        <v>0</v>
      </c>
      <c r="T65" s="4">
        <v>35</v>
      </c>
      <c r="U65" s="4">
        <v>79</v>
      </c>
      <c r="V65" s="52">
        <f>IF(ISERROR(VLOOKUP($S$65,'TAR FIN'!$A$1:$O$85,15,0)),0,VLOOKUP($S$65,'TAR FIN'!$A$1:$O$85,15,0))</f>
        <v>0</v>
      </c>
      <c r="W65" s="52">
        <f>IF(ISERROR(VLOOKUP($T$65,'TAR FIN'!$A$1:$O$85,15,0)),0,VLOOKUP($T$65,'TAR FIN'!$A$1:$O$85,15,0))*(1-0.06)</f>
        <v>2246.1299999999997</v>
      </c>
      <c r="X65" s="52">
        <f>IF(ISERROR(VLOOKUP($U$65,'TAR FIN'!$A$1:$O$85,15,0)),0,VLOOKUP($U$65,'TAR FIN'!$A$1:$O$85,15,0))*(1-0.06)</f>
        <v>208.30399999999997</v>
      </c>
      <c r="Y65" s="52"/>
      <c r="Z65" s="52">
        <f ca="1">('TUSD BE'!$AM$11+'TUSD BF'!$AM$11+'TUSD CVA'!$AM$11)*1*(1-0.03)</f>
        <v>2460.184007851436</v>
      </c>
      <c r="AA65" s="52">
        <f>('TE BE'!$AB$5+'TE BF'!$AB$5+'TE CVA'!$AB$5)*1*(1-0.03)</f>
        <v>261.13311241088314</v>
      </c>
      <c r="AB65" s="52">
        <f>(SUBSIDIO!$J$65*SUBSIDIO!$V$65)*(0.06)/(1-0.06)</f>
        <v>0</v>
      </c>
      <c r="AC65" s="52">
        <f>((SUBSIDIO!$L$65*SUBSIDIO!$W$65)+(SUBSIDIO!$N$65*SUBSIDIO!$X$65))*(0.06)/(1-0.06)</f>
        <v>3560.3915159999997</v>
      </c>
      <c r="AD65" s="52">
        <f>(SUBSIDIO!$J$65*SUBSIDIO!$Y$65)*(0.03)/(1-0.03)</f>
        <v>0</v>
      </c>
      <c r="AE65" s="52">
        <f ca="1">((SUBSIDIO!$L$65*SUBSIDIO!$Z$65)+(SUBSIDIO!$N$65*SUBSIDIO!$AA$65))*(0.03)/(1-0.03)</f>
        <v>1912.7212229406637</v>
      </c>
      <c r="AF65" s="4" t="s">
        <v>597</v>
      </c>
    </row>
    <row r="66" spans="1:32" ht="11.25" customHeight="1" x14ac:dyDescent="0.3">
      <c r="A66" s="4" t="s">
        <v>21</v>
      </c>
      <c r="B66" s="4" t="s">
        <v>38</v>
      </c>
      <c r="C66" s="4" t="s">
        <v>39</v>
      </c>
      <c r="D66" s="4" t="s">
        <v>47</v>
      </c>
      <c r="E66" s="4" t="s">
        <v>48</v>
      </c>
      <c r="F66" s="4" t="s">
        <v>25</v>
      </c>
      <c r="G66" s="4" t="s">
        <v>25</v>
      </c>
      <c r="H66" s="4" t="s">
        <v>40</v>
      </c>
      <c r="I66" s="5">
        <v>44562</v>
      </c>
      <c r="J66" s="6">
        <v>0</v>
      </c>
      <c r="K66" s="52">
        <v>0</v>
      </c>
      <c r="L66" s="6">
        <v>19.664000000000001</v>
      </c>
      <c r="M66" s="52">
        <v>19.664000000000001</v>
      </c>
      <c r="N66" s="6">
        <v>19.664000000000001</v>
      </c>
      <c r="O66" s="52">
        <v>19.664000000000001</v>
      </c>
      <c r="P66" s="6">
        <v>0</v>
      </c>
      <c r="Q66" s="4" t="s">
        <v>26</v>
      </c>
      <c r="R66" s="4">
        <v>0</v>
      </c>
      <c r="S66" s="4">
        <v>0</v>
      </c>
      <c r="T66" s="4">
        <v>35</v>
      </c>
      <c r="U66" s="4">
        <v>79</v>
      </c>
      <c r="V66" s="52">
        <f>IF(ISERROR(VLOOKUP($S$66,'TAR FIN'!$A$1:$O$85,15,0)),0,VLOOKUP($S$66,'TAR FIN'!$A$1:$O$85,15,0))</f>
        <v>0</v>
      </c>
      <c r="W66" s="52">
        <f>IF(ISERROR(VLOOKUP($T$66,'TAR FIN'!$A$1:$O$85,15,0)),0,VLOOKUP($T$66,'TAR FIN'!$A$1:$O$85,15,0))*(1-0.06)</f>
        <v>2246.1299999999997</v>
      </c>
      <c r="X66" s="52">
        <f>IF(ISERROR(VLOOKUP($U$66,'TAR FIN'!$A$1:$O$85,15,0)),0,VLOOKUP($U$66,'TAR FIN'!$A$1:$O$85,15,0))*(1-0.06)</f>
        <v>208.30399999999997</v>
      </c>
      <c r="Y66" s="52"/>
      <c r="Z66" s="52">
        <f ca="1">('TUSD BE'!$AM$11+'TUSD BF'!$AM$11+'TUSD CVA'!$AM$11)*1*(1-0.03)</f>
        <v>2460.184007851436</v>
      </c>
      <c r="AA66" s="52">
        <f>('TE BE'!$AB$5+'TE BF'!$AB$5+'TE CVA'!$AB$5)*1*(1-0.03)</f>
        <v>261.13311241088314</v>
      </c>
      <c r="AB66" s="52">
        <f>(SUBSIDIO!$J$66*SUBSIDIO!$V$66)*(0.06)/(1-0.06)</f>
        <v>0</v>
      </c>
      <c r="AC66" s="52">
        <f>((SUBSIDIO!$L$66*SUBSIDIO!$W$66)+(SUBSIDIO!$N$66*SUBSIDIO!$X$66))*(0.06)/(1-0.06)</f>
        <v>3080.6802239999997</v>
      </c>
      <c r="AD66" s="52">
        <f>(SUBSIDIO!$J$66*SUBSIDIO!$Y$66)*(0.03)/(1-0.03)</f>
        <v>0</v>
      </c>
      <c r="AE66" s="52">
        <f ca="1">((SUBSIDIO!$L$66*SUBSIDIO!$Z$66)+(SUBSIDIO!$N$66*SUBSIDIO!$AA$66))*(0.03)/(1-0.03)</f>
        <v>1655.009686170255</v>
      </c>
      <c r="AF66" s="4" t="s">
        <v>597</v>
      </c>
    </row>
    <row r="67" spans="1:32" ht="11.25" customHeight="1" x14ac:dyDescent="0.3">
      <c r="A67" s="4" t="s">
        <v>21</v>
      </c>
      <c r="B67" s="4" t="s">
        <v>38</v>
      </c>
      <c r="C67" s="4" t="s">
        <v>39</v>
      </c>
      <c r="D67" s="4" t="s">
        <v>47</v>
      </c>
      <c r="E67" s="4" t="s">
        <v>48</v>
      </c>
      <c r="F67" s="4" t="s">
        <v>25</v>
      </c>
      <c r="G67" s="4" t="s">
        <v>25</v>
      </c>
      <c r="H67" s="4" t="s">
        <v>40</v>
      </c>
      <c r="I67" s="5">
        <v>44593</v>
      </c>
      <c r="J67" s="6">
        <v>0</v>
      </c>
      <c r="K67" s="52">
        <v>0</v>
      </c>
      <c r="L67" s="6">
        <v>18.574000000000002</v>
      </c>
      <c r="M67" s="52">
        <v>18.574000000000002</v>
      </c>
      <c r="N67" s="6">
        <v>18.574000000000002</v>
      </c>
      <c r="O67" s="52">
        <v>18.574000000000002</v>
      </c>
      <c r="P67" s="6">
        <v>0</v>
      </c>
      <c r="Q67" s="4" t="s">
        <v>26</v>
      </c>
      <c r="R67" s="4">
        <v>0</v>
      </c>
      <c r="S67" s="4">
        <v>0</v>
      </c>
      <c r="T67" s="4">
        <v>35</v>
      </c>
      <c r="U67" s="4">
        <v>79</v>
      </c>
      <c r="V67" s="52">
        <f>IF(ISERROR(VLOOKUP($S$67,'TAR FIN'!$A$1:$O$85,15,0)),0,VLOOKUP($S$67,'TAR FIN'!$A$1:$O$85,15,0))</f>
        <v>0</v>
      </c>
      <c r="W67" s="52">
        <f>IF(ISERROR(VLOOKUP($T$67,'TAR FIN'!$A$1:$O$85,15,0)),0,VLOOKUP($T$67,'TAR FIN'!$A$1:$O$85,15,0))*(1-0.06)</f>
        <v>2246.1299999999997</v>
      </c>
      <c r="X67" s="52">
        <f>IF(ISERROR(VLOOKUP($U$67,'TAR FIN'!$A$1:$O$85,15,0)),0,VLOOKUP($U$67,'TAR FIN'!$A$1:$O$85,15,0))*(1-0.06)</f>
        <v>208.30399999999997</v>
      </c>
      <c r="Y67" s="52"/>
      <c r="Z67" s="52">
        <f ca="1">('TUSD BE'!$AM$11+'TUSD BF'!$AM$11+'TUSD CVA'!$AM$11)*1*(1-0.03)</f>
        <v>2460.184007851436</v>
      </c>
      <c r="AA67" s="52">
        <f>('TE BE'!$AB$5+'TE BF'!$AB$5+'TE CVA'!$AB$5)*1*(1-0.03)</f>
        <v>261.13311241088314</v>
      </c>
      <c r="AB67" s="52">
        <f>(SUBSIDIO!$J$67*SUBSIDIO!$V$67)*(0.06)/(1-0.06)</f>
        <v>0</v>
      </c>
      <c r="AC67" s="52">
        <f>((SUBSIDIO!$L$67*SUBSIDIO!$W$67)+(SUBSIDIO!$N$67*SUBSIDIO!$X$67))*(0.06)/(1-0.06)</f>
        <v>2909.9142839999995</v>
      </c>
      <c r="AD67" s="52">
        <f>(SUBSIDIO!$J$67*SUBSIDIO!$Y$67)*(0.03)/(1-0.03)</f>
        <v>0</v>
      </c>
      <c r="AE67" s="52">
        <f ca="1">((SUBSIDIO!$L$67*SUBSIDIO!$Z$67)+(SUBSIDIO!$N$67*SUBSIDIO!$AA$67))*(0.03)/(1-0.03)</f>
        <v>1563.2704389201749</v>
      </c>
      <c r="AF67" s="4" t="s">
        <v>597</v>
      </c>
    </row>
    <row r="68" spans="1:32" ht="11.25" customHeight="1" x14ac:dyDescent="0.3">
      <c r="A68" s="4" t="s">
        <v>21</v>
      </c>
      <c r="B68" s="4" t="s">
        <v>38</v>
      </c>
      <c r="C68" s="4" t="s">
        <v>39</v>
      </c>
      <c r="D68" s="4" t="s">
        <v>47</v>
      </c>
      <c r="E68" s="4" t="s">
        <v>48</v>
      </c>
      <c r="F68" s="4" t="s">
        <v>25</v>
      </c>
      <c r="G68" s="4" t="s">
        <v>25</v>
      </c>
      <c r="H68" s="4" t="s">
        <v>40</v>
      </c>
      <c r="I68" s="5">
        <v>44621</v>
      </c>
      <c r="J68" s="6">
        <v>0</v>
      </c>
      <c r="K68" s="52">
        <v>0</v>
      </c>
      <c r="L68" s="6">
        <v>20.591999999999999</v>
      </c>
      <c r="M68" s="52">
        <v>20.591999999999999</v>
      </c>
      <c r="N68" s="6">
        <v>20.591999999999999</v>
      </c>
      <c r="O68" s="52">
        <v>20.591999999999999</v>
      </c>
      <c r="P68" s="6">
        <v>0</v>
      </c>
      <c r="Q68" s="4" t="s">
        <v>26</v>
      </c>
      <c r="R68" s="4">
        <v>0</v>
      </c>
      <c r="S68" s="4">
        <v>0</v>
      </c>
      <c r="T68" s="4">
        <v>35</v>
      </c>
      <c r="U68" s="4">
        <v>79</v>
      </c>
      <c r="V68" s="52">
        <f>IF(ISERROR(VLOOKUP($S$68,'TAR FIN'!$A$1:$O$85,15,0)),0,VLOOKUP($S$68,'TAR FIN'!$A$1:$O$85,15,0))</f>
        <v>0</v>
      </c>
      <c r="W68" s="52">
        <f>IF(ISERROR(VLOOKUP($T$68,'TAR FIN'!$A$1:$O$85,15,0)),0,VLOOKUP($T$68,'TAR FIN'!$A$1:$O$85,15,0))*(1-0.06)</f>
        <v>2246.1299999999997</v>
      </c>
      <c r="X68" s="52">
        <f>IF(ISERROR(VLOOKUP($U$68,'TAR FIN'!$A$1:$O$85,15,0)),0,VLOOKUP($U$68,'TAR FIN'!$A$1:$O$85,15,0))*(1-0.06)</f>
        <v>208.30399999999997</v>
      </c>
      <c r="Y68" s="52"/>
      <c r="Z68" s="52">
        <f ca="1">('TUSD BE'!$AM$11+'TUSD BF'!$AM$11+'TUSD CVA'!$AM$11)*1*(1-0.03)</f>
        <v>2460.184007851436</v>
      </c>
      <c r="AA68" s="52">
        <f>('TE BE'!$AB$5+'TE BF'!$AB$5+'TE CVA'!$AB$5)*1*(1-0.03)</f>
        <v>261.13311241088314</v>
      </c>
      <c r="AB68" s="52">
        <f>(SUBSIDIO!$J$68*SUBSIDIO!$V$68)*(0.06)/(1-0.06)</f>
        <v>0</v>
      </c>
      <c r="AC68" s="52">
        <f>((SUBSIDIO!$L$68*SUBSIDIO!$W$68)+(SUBSIDIO!$N$68*SUBSIDIO!$X$68))*(0.06)/(1-0.06)</f>
        <v>3226.0662719999991</v>
      </c>
      <c r="AD68" s="52">
        <f>(SUBSIDIO!$J$68*SUBSIDIO!$Y$68)*(0.03)/(1-0.03)</f>
        <v>0</v>
      </c>
      <c r="AE68" s="52">
        <f ca="1">((SUBSIDIO!$L$68*SUBSIDIO!$Z$68)+(SUBSIDIO!$N$68*SUBSIDIO!$AA$68))*(0.03)/(1-0.03)</f>
        <v>1733.1142930033509</v>
      </c>
      <c r="AF68" s="4" t="s">
        <v>597</v>
      </c>
    </row>
    <row r="69" spans="1:32" ht="11.25" customHeight="1" x14ac:dyDescent="0.3">
      <c r="A69" s="4" t="s">
        <v>21</v>
      </c>
      <c r="B69" s="4" t="s">
        <v>38</v>
      </c>
      <c r="C69" s="4" t="s">
        <v>39</v>
      </c>
      <c r="D69" s="4" t="s">
        <v>47</v>
      </c>
      <c r="E69" s="4" t="s">
        <v>48</v>
      </c>
      <c r="F69" s="4" t="s">
        <v>25</v>
      </c>
      <c r="G69" s="4" t="s">
        <v>25</v>
      </c>
      <c r="H69" s="4" t="s">
        <v>40</v>
      </c>
      <c r="I69" s="5">
        <v>44652</v>
      </c>
      <c r="J69" s="6">
        <v>0</v>
      </c>
      <c r="K69" s="52">
        <v>0</v>
      </c>
      <c r="L69" s="6">
        <v>18.384</v>
      </c>
      <c r="M69" s="52">
        <v>18.384</v>
      </c>
      <c r="N69" s="6">
        <v>18.384</v>
      </c>
      <c r="O69" s="52">
        <v>18.384</v>
      </c>
      <c r="P69" s="6">
        <v>0</v>
      </c>
      <c r="Q69" s="4" t="s">
        <v>26</v>
      </c>
      <c r="R69" s="4">
        <v>0</v>
      </c>
      <c r="S69" s="4">
        <v>0</v>
      </c>
      <c r="T69" s="4">
        <v>35</v>
      </c>
      <c r="U69" s="4">
        <v>79</v>
      </c>
      <c r="V69" s="52">
        <f>IF(ISERROR(VLOOKUP($S$69,'TAR FIN'!$A$1:$O$85,15,0)),0,VLOOKUP($S$69,'TAR FIN'!$A$1:$O$85,15,0))</f>
        <v>0</v>
      </c>
      <c r="W69" s="52">
        <f>IF(ISERROR(VLOOKUP($T$69,'TAR FIN'!$A$1:$O$85,15,0)),0,VLOOKUP($T$69,'TAR FIN'!$A$1:$O$85,15,0))*(1-0.06)</f>
        <v>2246.1299999999997</v>
      </c>
      <c r="X69" s="52">
        <f>IF(ISERROR(VLOOKUP($U$69,'TAR FIN'!$A$1:$O$85,15,0)),0,VLOOKUP($U$69,'TAR FIN'!$A$1:$O$85,15,0))*(1-0.06)</f>
        <v>208.30399999999997</v>
      </c>
      <c r="Y69" s="52"/>
      <c r="Z69" s="52">
        <f ca="1">('TUSD BE'!$AM$11+'TUSD BF'!$AM$11+'TUSD CVA'!$AM$11)*1*(1-0.03)</f>
        <v>2460.184007851436</v>
      </c>
      <c r="AA69" s="52">
        <f>('TE BE'!$AB$5+'TE BF'!$AB$5+'TE CVA'!$AB$5)*1*(1-0.03)</f>
        <v>261.13311241088314</v>
      </c>
      <c r="AB69" s="52">
        <f>(SUBSIDIO!$J$69*SUBSIDIO!$V$69)*(0.06)/(1-0.06)</f>
        <v>0</v>
      </c>
      <c r="AC69" s="52">
        <f>((SUBSIDIO!$L$69*SUBSIDIO!$W$69)+(SUBSIDIO!$N$69*SUBSIDIO!$X$69))*(0.06)/(1-0.06)</f>
        <v>2880.1477439999999</v>
      </c>
      <c r="AD69" s="52">
        <f>(SUBSIDIO!$J$69*SUBSIDIO!$Y$69)*(0.03)/(1-0.03)</f>
        <v>0</v>
      </c>
      <c r="AE69" s="52">
        <f ca="1">((SUBSIDIO!$L$69*SUBSIDIO!$Z$69)+(SUBSIDIO!$N$69*SUBSIDIO!$AA$69))*(0.03)/(1-0.03)</f>
        <v>1547.2791939866743</v>
      </c>
      <c r="AF69" s="4" t="s">
        <v>597</v>
      </c>
    </row>
    <row r="70" spans="1:32" ht="11.25" customHeight="1" x14ac:dyDescent="0.3">
      <c r="A70" s="4" t="s">
        <v>21</v>
      </c>
      <c r="B70" s="4" t="s">
        <v>38</v>
      </c>
      <c r="C70" s="4" t="s">
        <v>39</v>
      </c>
      <c r="D70" s="4" t="s">
        <v>47</v>
      </c>
      <c r="E70" s="4" t="s">
        <v>48</v>
      </c>
      <c r="F70" s="4" t="s">
        <v>25</v>
      </c>
      <c r="G70" s="4" t="s">
        <v>25</v>
      </c>
      <c r="H70" s="4" t="s">
        <v>40</v>
      </c>
      <c r="I70" s="5">
        <v>44682</v>
      </c>
      <c r="J70" s="6">
        <v>0</v>
      </c>
      <c r="K70" s="52">
        <v>0</v>
      </c>
      <c r="L70" s="6">
        <v>20.672000000000001</v>
      </c>
      <c r="M70" s="52">
        <v>20.672000000000001</v>
      </c>
      <c r="N70" s="6">
        <v>20.672000000000001</v>
      </c>
      <c r="O70" s="52">
        <v>20.672000000000001</v>
      </c>
      <c r="P70" s="6">
        <v>0</v>
      </c>
      <c r="Q70" s="4" t="s">
        <v>26</v>
      </c>
      <c r="R70" s="4">
        <v>0</v>
      </c>
      <c r="S70" s="4">
        <v>0</v>
      </c>
      <c r="T70" s="4">
        <v>35</v>
      </c>
      <c r="U70" s="4">
        <v>79</v>
      </c>
      <c r="V70" s="52">
        <f>IF(ISERROR(VLOOKUP($S$70,'TAR FIN'!$A$1:$O$85,15,0)),0,VLOOKUP($S$70,'TAR FIN'!$A$1:$O$85,15,0))</f>
        <v>0</v>
      </c>
      <c r="W70" s="52">
        <f>IF(ISERROR(VLOOKUP($T$70,'TAR FIN'!$A$1:$O$85,15,0)),0,VLOOKUP($T$70,'TAR FIN'!$A$1:$O$85,15,0))*(1-0.06)</f>
        <v>2246.1299999999997</v>
      </c>
      <c r="X70" s="52">
        <f>IF(ISERROR(VLOOKUP($U$70,'TAR FIN'!$A$1:$O$85,15,0)),0,VLOOKUP($U$70,'TAR FIN'!$A$1:$O$85,15,0))*(1-0.06)</f>
        <v>208.30399999999997</v>
      </c>
      <c r="Y70" s="52"/>
      <c r="Z70" s="52">
        <f ca="1">('TUSD BE'!$AM$11+'TUSD BF'!$AM$11+'TUSD CVA'!$AM$11)*1*(1-0.03)</f>
        <v>2460.184007851436</v>
      </c>
      <c r="AA70" s="52">
        <f>('TE BE'!$AB$5+'TE BF'!$AB$5+'TE CVA'!$AB$5)*1*(1-0.03)</f>
        <v>261.13311241088314</v>
      </c>
      <c r="AB70" s="52">
        <f>(SUBSIDIO!$J$70*SUBSIDIO!$V$70)*(0.06)/(1-0.06)</f>
        <v>0</v>
      </c>
      <c r="AC70" s="52">
        <f>((SUBSIDIO!$L$70*SUBSIDIO!$W$70)+(SUBSIDIO!$N$70*SUBSIDIO!$X$70))*(0.06)/(1-0.06)</f>
        <v>3238.5995519999997</v>
      </c>
      <c r="AD70" s="52">
        <f>(SUBSIDIO!$J$70*SUBSIDIO!$Y$70)*(0.03)/(1-0.03)</f>
        <v>0</v>
      </c>
      <c r="AE70" s="52">
        <f ca="1">((SUBSIDIO!$L$70*SUBSIDIO!$Z$70)+(SUBSIDIO!$N$70*SUBSIDIO!$AA$70))*(0.03)/(1-0.03)</f>
        <v>1739.8474487648245</v>
      </c>
      <c r="AF70" s="4" t="s">
        <v>597</v>
      </c>
    </row>
    <row r="71" spans="1:32" ht="11.25" customHeight="1" x14ac:dyDescent="0.3">
      <c r="A71" s="4" t="s">
        <v>21</v>
      </c>
      <c r="B71" s="4" t="s">
        <v>38</v>
      </c>
      <c r="C71" s="4" t="s">
        <v>39</v>
      </c>
      <c r="D71" s="4" t="s">
        <v>47</v>
      </c>
      <c r="E71" s="4" t="s">
        <v>48</v>
      </c>
      <c r="F71" s="4" t="s">
        <v>25</v>
      </c>
      <c r="G71" s="4" t="s">
        <v>25</v>
      </c>
      <c r="H71" s="4" t="s">
        <v>40</v>
      </c>
      <c r="I71" s="5">
        <v>44713</v>
      </c>
      <c r="J71" s="6">
        <v>0</v>
      </c>
      <c r="K71" s="52">
        <v>0</v>
      </c>
      <c r="L71" s="6">
        <v>20.959</v>
      </c>
      <c r="M71" s="52">
        <v>20.959</v>
      </c>
      <c r="N71" s="6">
        <v>20.959</v>
      </c>
      <c r="O71" s="52">
        <v>20.959</v>
      </c>
      <c r="P71" s="6">
        <v>0</v>
      </c>
      <c r="Q71" s="4" t="s">
        <v>26</v>
      </c>
      <c r="R71" s="4">
        <v>0</v>
      </c>
      <c r="S71" s="4">
        <v>0</v>
      </c>
      <c r="T71" s="4">
        <v>35</v>
      </c>
      <c r="U71" s="4">
        <v>79</v>
      </c>
      <c r="V71" s="52">
        <f>IF(ISERROR(VLOOKUP($S$71,'TAR FIN'!$A$1:$O$85,15,0)),0,VLOOKUP($S$71,'TAR FIN'!$A$1:$O$85,15,0))</f>
        <v>0</v>
      </c>
      <c r="W71" s="52">
        <f>IF(ISERROR(VLOOKUP($T$71,'TAR FIN'!$A$1:$O$85,15,0)),0,VLOOKUP($T$71,'TAR FIN'!$A$1:$O$85,15,0))*(1-0.06)</f>
        <v>2246.1299999999997</v>
      </c>
      <c r="X71" s="52">
        <f>IF(ISERROR(VLOOKUP($U$71,'TAR FIN'!$A$1:$O$85,15,0)),0,VLOOKUP($U$71,'TAR FIN'!$A$1:$O$85,15,0))*(1-0.06)</f>
        <v>208.30399999999997</v>
      </c>
      <c r="Y71" s="52"/>
      <c r="Z71" s="52">
        <f ca="1">('TUSD BE'!$AM$11+'TUSD BF'!$AM$11+'TUSD CVA'!$AM$11)*1*(1-0.03)</f>
        <v>2460.184007851436</v>
      </c>
      <c r="AA71" s="52">
        <f>('TE BE'!$AB$5+'TE BF'!$AB$5+'TE CVA'!$AB$5)*1*(1-0.03)</f>
        <v>261.13311241088314</v>
      </c>
      <c r="AB71" s="52">
        <f>(SUBSIDIO!$J$71*SUBSIDIO!$V$71)*(0.06)/(1-0.06)</f>
        <v>0</v>
      </c>
      <c r="AC71" s="52">
        <f>((SUBSIDIO!$L$71*SUBSIDIO!$W$71)+(SUBSIDIO!$N$71*SUBSIDIO!$X$71))*(0.06)/(1-0.06)</f>
        <v>3283.5626939999997</v>
      </c>
      <c r="AD71" s="52">
        <f>(SUBSIDIO!$J$71*SUBSIDIO!$Y$71)*(0.03)/(1-0.03)</f>
        <v>0</v>
      </c>
      <c r="AE71" s="52">
        <f ca="1">((SUBSIDIO!$L$71*SUBSIDIO!$Z$71)+(SUBSIDIO!$N$71*SUBSIDIO!$AA$71))*(0.03)/(1-0.03)</f>
        <v>1764.0026450591117</v>
      </c>
      <c r="AF71" s="4" t="s">
        <v>597</v>
      </c>
    </row>
    <row r="72" spans="1:32" ht="11.25" customHeight="1" x14ac:dyDescent="0.3">
      <c r="A72" s="4" t="s">
        <v>21</v>
      </c>
      <c r="B72" s="4" t="s">
        <v>38</v>
      </c>
      <c r="C72" s="4" t="s">
        <v>39</v>
      </c>
      <c r="D72" s="4" t="s">
        <v>47</v>
      </c>
      <c r="E72" s="4" t="s">
        <v>48</v>
      </c>
      <c r="F72" s="4" t="s">
        <v>25</v>
      </c>
      <c r="G72" s="4" t="s">
        <v>25</v>
      </c>
      <c r="H72" s="4" t="s">
        <v>40</v>
      </c>
      <c r="I72" s="5">
        <v>44743</v>
      </c>
      <c r="J72" s="6">
        <v>0</v>
      </c>
      <c r="K72" s="52">
        <v>0</v>
      </c>
      <c r="L72" s="6">
        <v>20.106999999999999</v>
      </c>
      <c r="M72" s="52">
        <v>20.106999999999999</v>
      </c>
      <c r="N72" s="6">
        <v>20.106999999999999</v>
      </c>
      <c r="O72" s="52">
        <v>20.106999999999999</v>
      </c>
      <c r="P72" s="6">
        <v>0</v>
      </c>
      <c r="Q72" s="4" t="s">
        <v>26</v>
      </c>
      <c r="R72" s="4">
        <v>0</v>
      </c>
      <c r="S72" s="4">
        <v>0</v>
      </c>
      <c r="T72" s="4">
        <v>35</v>
      </c>
      <c r="U72" s="4">
        <v>79</v>
      </c>
      <c r="V72" s="52">
        <f>IF(ISERROR(VLOOKUP($S$72,'TAR FIN'!$A$1:$O$85,15,0)),0,VLOOKUP($S$72,'TAR FIN'!$A$1:$O$85,15,0))</f>
        <v>0</v>
      </c>
      <c r="W72" s="52">
        <f>IF(ISERROR(VLOOKUP($T$72,'TAR FIN'!$A$1:$O$85,15,0)),0,VLOOKUP($T$72,'TAR FIN'!$A$1:$O$85,15,0))*(1-0.06)</f>
        <v>2246.1299999999997</v>
      </c>
      <c r="X72" s="52">
        <f>IF(ISERROR(VLOOKUP($U$72,'TAR FIN'!$A$1:$O$85,15,0)),0,VLOOKUP($U$72,'TAR FIN'!$A$1:$O$85,15,0))*(1-0.06)</f>
        <v>208.30399999999997</v>
      </c>
      <c r="Y72" s="52"/>
      <c r="Z72" s="52">
        <f ca="1">('TUSD BE'!$AM$11+'TUSD BF'!$AM$11+'TUSD CVA'!$AM$11)*1*(1-0.03)</f>
        <v>2460.184007851436</v>
      </c>
      <c r="AA72" s="52">
        <f>('TE BE'!$AB$5+'TE BF'!$AB$5+'TE CVA'!$AB$5)*1*(1-0.03)</f>
        <v>261.13311241088314</v>
      </c>
      <c r="AB72" s="52">
        <f>(SUBSIDIO!$J$72*SUBSIDIO!$V$72)*(0.06)/(1-0.06)</f>
        <v>0</v>
      </c>
      <c r="AC72" s="52">
        <f>((SUBSIDIO!$L$72*SUBSIDIO!$W$72)+(SUBSIDIO!$N$72*SUBSIDIO!$X$72))*(0.06)/(1-0.06)</f>
        <v>3150.0832619999996</v>
      </c>
      <c r="AD72" s="52">
        <f>(SUBSIDIO!$J$72*SUBSIDIO!$Y$72)*(0.03)/(1-0.03)</f>
        <v>0</v>
      </c>
      <c r="AE72" s="52">
        <f ca="1">((SUBSIDIO!$L$72*SUBSIDIO!$Z$72)+(SUBSIDIO!$N$72*SUBSIDIO!$AA$72))*(0.03)/(1-0.03)</f>
        <v>1692.2945361994161</v>
      </c>
      <c r="AF72" s="4" t="s">
        <v>597</v>
      </c>
    </row>
    <row r="73" spans="1:32" ht="11.25" customHeight="1" x14ac:dyDescent="0.3">
      <c r="A73" s="4" t="s">
        <v>21</v>
      </c>
      <c r="B73" s="4" t="s">
        <v>38</v>
      </c>
      <c r="C73" s="4" t="s">
        <v>39</v>
      </c>
      <c r="D73" s="4" t="s">
        <v>47</v>
      </c>
      <c r="E73" s="4" t="s">
        <v>48</v>
      </c>
      <c r="F73" s="4" t="s">
        <v>25</v>
      </c>
      <c r="G73" s="4" t="s">
        <v>25</v>
      </c>
      <c r="H73" s="4" t="s">
        <v>40</v>
      </c>
      <c r="I73" s="5">
        <v>44774</v>
      </c>
      <c r="J73" s="6">
        <v>0</v>
      </c>
      <c r="K73" s="52">
        <v>0</v>
      </c>
      <c r="L73" s="6">
        <v>21.699000000000002</v>
      </c>
      <c r="M73" s="52">
        <v>21.699000000000002</v>
      </c>
      <c r="N73" s="6">
        <v>21.699000000000002</v>
      </c>
      <c r="O73" s="52">
        <v>21.699000000000002</v>
      </c>
      <c r="P73" s="6">
        <v>0</v>
      </c>
      <c r="Q73" s="4" t="s">
        <v>26</v>
      </c>
      <c r="R73" s="4">
        <v>0</v>
      </c>
      <c r="S73" s="4">
        <v>0</v>
      </c>
      <c r="T73" s="4">
        <v>35</v>
      </c>
      <c r="U73" s="4">
        <v>79</v>
      </c>
      <c r="V73" s="52">
        <f>IF(ISERROR(VLOOKUP($S$73,'TAR FIN'!$A$1:$O$85,15,0)),0,VLOOKUP($S$73,'TAR FIN'!$A$1:$O$85,15,0))</f>
        <v>0</v>
      </c>
      <c r="W73" s="52">
        <f>IF(ISERROR(VLOOKUP($T$73,'TAR FIN'!$A$1:$O$85,15,0)),0,VLOOKUP($T$73,'TAR FIN'!$A$1:$O$85,15,0))*(1-0.06)</f>
        <v>2246.1299999999997</v>
      </c>
      <c r="X73" s="52">
        <f>IF(ISERROR(VLOOKUP($U$73,'TAR FIN'!$A$1:$O$85,15,0)),0,VLOOKUP($U$73,'TAR FIN'!$A$1:$O$85,15,0))*(1-0.06)</f>
        <v>208.30399999999997</v>
      </c>
      <c r="Y73" s="52"/>
      <c r="Z73" s="52">
        <f ca="1">('TUSD BE'!$AM$11+'TUSD BF'!$AM$11+'TUSD CVA'!$AM$11)*1*(1-0.03)</f>
        <v>2460.184007851436</v>
      </c>
      <c r="AA73" s="52">
        <f>('TE BE'!$AB$5+'TE BF'!$AB$5+'TE CVA'!$AB$5)*1*(1-0.03)</f>
        <v>261.13311241088314</v>
      </c>
      <c r="AB73" s="52">
        <f>(SUBSIDIO!$J$73*SUBSIDIO!$V$73)*(0.06)/(1-0.06)</f>
        <v>0</v>
      </c>
      <c r="AC73" s="52">
        <f>((SUBSIDIO!$L$73*SUBSIDIO!$W$73)+(SUBSIDIO!$N$73*SUBSIDIO!$X$73))*(0.06)/(1-0.06)</f>
        <v>3399.4955339999997</v>
      </c>
      <c r="AD73" s="52">
        <f>(SUBSIDIO!$J$73*SUBSIDIO!$Y$73)*(0.03)/(1-0.03)</f>
        <v>0</v>
      </c>
      <c r="AE73" s="52">
        <f ca="1">((SUBSIDIO!$L$73*SUBSIDIO!$Z$73)+(SUBSIDIO!$N$73*SUBSIDIO!$AA$73))*(0.03)/(1-0.03)</f>
        <v>1826.2843358527443</v>
      </c>
      <c r="AF73" s="4" t="s">
        <v>597</v>
      </c>
    </row>
    <row r="74" spans="1:32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44440</v>
      </c>
      <c r="J74" s="6">
        <v>0</v>
      </c>
      <c r="K74" s="6">
        <v>0</v>
      </c>
      <c r="L74" s="6">
        <v>423.71499999999997</v>
      </c>
      <c r="M74" s="6">
        <v>423.71499999999997</v>
      </c>
      <c r="N74" s="6">
        <v>423.71499999999997</v>
      </c>
      <c r="O74" s="6">
        <v>423.71499999999997</v>
      </c>
      <c r="P74" s="6">
        <v>3253</v>
      </c>
      <c r="Q74" s="4" t="s">
        <v>26</v>
      </c>
      <c r="R74" s="4">
        <v>0</v>
      </c>
      <c r="S74" s="4">
        <v>0</v>
      </c>
      <c r="T74" s="4">
        <v>26</v>
      </c>
      <c r="U74" s="4">
        <v>57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462.27</v>
      </c>
      <c r="X74" s="6">
        <f>IF(ISERROR(VLOOKUP($U$74,'TAR FIN'!$A$1:$O$85,15,0)),0,VLOOKUP($U$74,'TAR FIN'!$A$1:$O$85,15,0))</f>
        <v>221.6</v>
      </c>
      <c r="Y74" s="6"/>
      <c r="Z74" s="6">
        <f ca="1">('TUSD BE'!$AM$20+'TUSD BF'!$AM$20+'TUSD CVA'!$AM$20)*1</f>
        <v>485.29225363792813</v>
      </c>
      <c r="AA74" s="6">
        <f>('TE BE'!$AB$11+'TE BF'!$AB$11+'TE CVA'!$AB$11)*1</f>
        <v>269.20939423802389</v>
      </c>
      <c r="AB74" s="6">
        <f t="shared" ref="AB74:AB97" si="10">(J74-K74)*V74</f>
        <v>0</v>
      </c>
      <c r="AC74" s="6">
        <f t="shared" ref="AC74" si="11">(L74-M74)*W74+(N74-O74)*X74</f>
        <v>0</v>
      </c>
      <c r="AD74" s="6">
        <f t="shared" ref="AD74:AD97" si="12">(J74-K74)*Y74</f>
        <v>0</v>
      </c>
      <c r="AE74" s="6">
        <f t="shared" ref="AE74" ca="1" si="13">(L74-M74)*Z74+(N74-O74)*AA74</f>
        <v>0</v>
      </c>
    </row>
    <row r="75" spans="1:32" ht="11.25" customHeight="1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29</v>
      </c>
      <c r="F75" s="4" t="s">
        <v>25</v>
      </c>
      <c r="G75" s="4" t="s">
        <v>25</v>
      </c>
      <c r="H75" s="4" t="s">
        <v>25</v>
      </c>
      <c r="I75" s="5">
        <v>44440</v>
      </c>
      <c r="J75" s="6">
        <v>0</v>
      </c>
      <c r="K75" s="6">
        <v>0</v>
      </c>
      <c r="L75" s="6">
        <v>3.63</v>
      </c>
      <c r="M75" s="6">
        <v>3.63</v>
      </c>
      <c r="N75" s="6">
        <v>3.63</v>
      </c>
      <c r="O75" s="6">
        <v>3.63</v>
      </c>
      <c r="P75" s="6">
        <v>0</v>
      </c>
      <c r="Q75" s="4" t="s">
        <v>26</v>
      </c>
      <c r="R75" s="4">
        <v>0</v>
      </c>
      <c r="S75" s="4">
        <v>0</v>
      </c>
      <c r="T75" s="4">
        <v>31</v>
      </c>
      <c r="U75" s="4">
        <v>78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128.82</v>
      </c>
      <c r="X75" s="6">
        <f>IF(ISERROR(VLOOKUP($U$75,'TAR FIN'!$A$1:$O$85,15,0)),0,VLOOKUP($U$75,'TAR FIN'!$A$1:$O$85,15,0))</f>
        <v>77.56</v>
      </c>
      <c r="Y75" s="6"/>
      <c r="Z75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75" s="6">
        <f>('TE BE'!$AB$12+'TE BF'!$AB$12+'TE CVA'!$AB$12)*(1-CUSTOS!$M$34)</f>
        <v>94.223287983308353</v>
      </c>
      <c r="AB75" s="6">
        <f t="shared" si="10"/>
        <v>0</v>
      </c>
      <c r="AC75" s="6">
        <f>(L75-M75)*(W75+X75)+($W$115+$X$115-$W$75-$X$75)*(L75)</f>
        <v>1391.3426999999999</v>
      </c>
      <c r="AD75" s="6">
        <f t="shared" si="12"/>
        <v>0</v>
      </c>
      <c r="AE75" s="6">
        <f ca="1">(L75-M75)*(Z75+AA75)+($Z$115+$AA$115-$Z$75-$AA$75)*(L75)</f>
        <v>1465.7238287508223</v>
      </c>
      <c r="AF75" s="4" t="s">
        <v>598</v>
      </c>
    </row>
    <row r="76" spans="1:32" ht="11.25" customHeight="1" x14ac:dyDescent="0.3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29</v>
      </c>
      <c r="F76" s="4" t="s">
        <v>25</v>
      </c>
      <c r="G76" s="4" t="s">
        <v>25</v>
      </c>
      <c r="H76" s="4" t="s">
        <v>25</v>
      </c>
      <c r="I76" s="5">
        <v>44470</v>
      </c>
      <c r="J76" s="6">
        <v>0</v>
      </c>
      <c r="K76" s="6">
        <v>0</v>
      </c>
      <c r="L76" s="6">
        <v>3.63</v>
      </c>
      <c r="M76" s="6">
        <v>3.63</v>
      </c>
      <c r="N76" s="6">
        <v>3.63</v>
      </c>
      <c r="O76" s="6">
        <v>3.63</v>
      </c>
      <c r="P76" s="6">
        <v>0</v>
      </c>
      <c r="Q76" s="4" t="s">
        <v>26</v>
      </c>
      <c r="R76" s="4">
        <v>0</v>
      </c>
      <c r="S76" s="4">
        <v>0</v>
      </c>
      <c r="T76" s="4">
        <v>31</v>
      </c>
      <c r="U76" s="4">
        <v>78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128.82</v>
      </c>
      <c r="X76" s="6">
        <f>IF(ISERROR(VLOOKUP($U$76,'TAR FIN'!$A$1:$O$85,15,0)),0,VLOOKUP($U$76,'TAR FIN'!$A$1:$O$85,15,0))</f>
        <v>77.56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76" s="6">
        <f>('TE BE'!$AB$12+'TE BF'!$AB$12+'TE CVA'!$AB$12)*(1-CUSTOS!$M$34)</f>
        <v>94.223287983308353</v>
      </c>
      <c r="AB76" s="6">
        <f t="shared" si="10"/>
        <v>0</v>
      </c>
      <c r="AC76" s="6">
        <f>(L76-M76)*(W76+X76)+($W$115+$X$115-$W$76-$X$76)*(L76)</f>
        <v>1391.3426999999999</v>
      </c>
      <c r="AD76" s="6">
        <f t="shared" si="12"/>
        <v>0</v>
      </c>
      <c r="AE76" s="6">
        <f ca="1">(L76-M76)*(Z76+AA76)+($Z$115+$AA$115-$Z$76-$AA$76)*(L76)</f>
        <v>1465.7238287508223</v>
      </c>
      <c r="AF76" s="4" t="s">
        <v>598</v>
      </c>
    </row>
    <row r="77" spans="1:32" ht="11.25" customHeight="1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29</v>
      </c>
      <c r="F77" s="4" t="s">
        <v>25</v>
      </c>
      <c r="G77" s="4" t="s">
        <v>25</v>
      </c>
      <c r="H77" s="4" t="s">
        <v>25</v>
      </c>
      <c r="I77" s="5">
        <v>44501</v>
      </c>
      <c r="J77" s="6">
        <v>0</v>
      </c>
      <c r="K77" s="6">
        <v>0</v>
      </c>
      <c r="L77" s="6">
        <v>3.6</v>
      </c>
      <c r="M77" s="6">
        <v>3.6</v>
      </c>
      <c r="N77" s="6">
        <v>3.6</v>
      </c>
      <c r="O77" s="6">
        <v>3.6</v>
      </c>
      <c r="P77" s="6">
        <v>0</v>
      </c>
      <c r="Q77" s="4" t="s">
        <v>26</v>
      </c>
      <c r="R77" s="4">
        <v>0</v>
      </c>
      <c r="S77" s="4">
        <v>0</v>
      </c>
      <c r="T77" s="4">
        <v>31</v>
      </c>
      <c r="U77" s="4">
        <v>78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128.82</v>
      </c>
      <c r="X77" s="6">
        <f>IF(ISERROR(VLOOKUP($U$77,'TAR FIN'!$A$1:$O$85,15,0)),0,VLOOKUP($U$77,'TAR FIN'!$A$1:$O$85,15,0))</f>
        <v>77.56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77" s="6">
        <f>('TE BE'!$AB$12+'TE BF'!$AB$12+'TE CVA'!$AB$12)*(1-CUSTOS!$M$34)</f>
        <v>94.223287983308353</v>
      </c>
      <c r="AB77" s="6">
        <f t="shared" si="10"/>
        <v>0</v>
      </c>
      <c r="AC77" s="6">
        <f>(L77-M77)*(W77+X77)+($W$115+$X$115-$W$77-$X$77)*(L77)</f>
        <v>1379.8439999999998</v>
      </c>
      <c r="AD77" s="6">
        <f t="shared" si="12"/>
        <v>0</v>
      </c>
      <c r="AE77" s="6">
        <f ca="1">(L77-M77)*(Z77+AA77)+($Z$115+$AA$115-$Z$77-$AA$77)*(L77)</f>
        <v>1453.6104086785017</v>
      </c>
      <c r="AF77" s="4" t="s">
        <v>598</v>
      </c>
    </row>
    <row r="78" spans="1:32" ht="11.25" customHeight="1" x14ac:dyDescent="0.3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29</v>
      </c>
      <c r="F78" s="4" t="s">
        <v>25</v>
      </c>
      <c r="G78" s="4" t="s">
        <v>25</v>
      </c>
      <c r="H78" s="4" t="s">
        <v>25</v>
      </c>
      <c r="I78" s="5">
        <v>44531</v>
      </c>
      <c r="J78" s="6">
        <v>0</v>
      </c>
      <c r="K78" s="6">
        <v>0</v>
      </c>
      <c r="L78" s="6">
        <v>3.66</v>
      </c>
      <c r="M78" s="6">
        <v>3.66</v>
      </c>
      <c r="N78" s="6">
        <v>3.66</v>
      </c>
      <c r="O78" s="6">
        <v>3.66</v>
      </c>
      <c r="P78" s="6">
        <v>0</v>
      </c>
      <c r="Q78" s="4" t="s">
        <v>26</v>
      </c>
      <c r="R78" s="4">
        <v>0</v>
      </c>
      <c r="S78" s="4">
        <v>0</v>
      </c>
      <c r="T78" s="4">
        <v>31</v>
      </c>
      <c r="U78" s="4">
        <v>78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128.82</v>
      </c>
      <c r="X78" s="6">
        <f>IF(ISERROR(VLOOKUP($U$78,'TAR FIN'!$A$1:$O$85,15,0)),0,VLOOKUP($U$78,'TAR FIN'!$A$1:$O$85,15,0))</f>
        <v>77.56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78" s="6">
        <f>('TE BE'!$AB$12+'TE BF'!$AB$12+'TE CVA'!$AB$12)*(1-CUSTOS!$M$34)</f>
        <v>94.223287983308353</v>
      </c>
      <c r="AB78" s="6">
        <f t="shared" si="10"/>
        <v>0</v>
      </c>
      <c r="AC78" s="6">
        <f>(L78-M78)*(W78+X78)+($W$115+$X$115-$W$78-$X$78)*(L78)</f>
        <v>1402.8414</v>
      </c>
      <c r="AD78" s="6">
        <f t="shared" si="12"/>
        <v>0</v>
      </c>
      <c r="AE78" s="6">
        <f ca="1">(L78-M78)*(Z78+AA78)+($Z$115+$AA$115-$Z$78-$AA$78)*(L78)</f>
        <v>1477.8372488231432</v>
      </c>
      <c r="AF78" s="4" t="s">
        <v>598</v>
      </c>
    </row>
    <row r="79" spans="1:32" ht="11.25" customHeight="1" x14ac:dyDescent="0.3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29</v>
      </c>
      <c r="F79" s="4" t="s">
        <v>25</v>
      </c>
      <c r="G79" s="4" t="s">
        <v>25</v>
      </c>
      <c r="H79" s="4" t="s">
        <v>25</v>
      </c>
      <c r="I79" s="5">
        <v>44562</v>
      </c>
      <c r="J79" s="6">
        <v>0</v>
      </c>
      <c r="K79" s="6">
        <v>0</v>
      </c>
      <c r="L79" s="6">
        <v>3.6</v>
      </c>
      <c r="M79" s="6">
        <v>3.6</v>
      </c>
      <c r="N79" s="6">
        <v>3.6</v>
      </c>
      <c r="O79" s="6">
        <v>3.6</v>
      </c>
      <c r="P79" s="6">
        <v>0</v>
      </c>
      <c r="Q79" s="4" t="s">
        <v>26</v>
      </c>
      <c r="R79" s="4">
        <v>0</v>
      </c>
      <c r="S79" s="4">
        <v>0</v>
      </c>
      <c r="T79" s="4">
        <v>31</v>
      </c>
      <c r="U79" s="4">
        <v>78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128.82</v>
      </c>
      <c r="X79" s="6">
        <f>IF(ISERROR(VLOOKUP($U$79,'TAR FIN'!$A$1:$O$85,15,0)),0,VLOOKUP($U$79,'TAR FIN'!$A$1:$O$85,15,0))</f>
        <v>77.56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79" s="6">
        <f>('TE BE'!$AB$12+'TE BF'!$AB$12+'TE CVA'!$AB$12)*(1-CUSTOS!$M$34)</f>
        <v>94.223287983308353</v>
      </c>
      <c r="AB79" s="6">
        <f t="shared" si="10"/>
        <v>0</v>
      </c>
      <c r="AC79" s="6">
        <f>(L79-M79)*(W79+X79)+($W$115+$X$115-$W$79-$X$79)*(L79)</f>
        <v>1379.8439999999998</v>
      </c>
      <c r="AD79" s="6">
        <f t="shared" si="12"/>
        <v>0</v>
      </c>
      <c r="AE79" s="6">
        <f ca="1">(L79-M79)*(Z79+AA79)+($Z$115+$AA$115-$Z$79-$AA$79)*(L79)</f>
        <v>1453.6104086785017</v>
      </c>
      <c r="AF79" s="4" t="s">
        <v>598</v>
      </c>
    </row>
    <row r="80" spans="1:32" ht="11.25" customHeight="1" x14ac:dyDescent="0.3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29</v>
      </c>
      <c r="F80" s="4" t="s">
        <v>25</v>
      </c>
      <c r="G80" s="4" t="s">
        <v>25</v>
      </c>
      <c r="H80" s="4" t="s">
        <v>25</v>
      </c>
      <c r="I80" s="5">
        <v>44593</v>
      </c>
      <c r="J80" s="6">
        <v>0</v>
      </c>
      <c r="K80" s="6">
        <v>0</v>
      </c>
      <c r="L80" s="6">
        <v>3.72</v>
      </c>
      <c r="M80" s="6">
        <v>3.72</v>
      </c>
      <c r="N80" s="6">
        <v>3.72</v>
      </c>
      <c r="O80" s="6">
        <v>3.72</v>
      </c>
      <c r="P80" s="6">
        <v>1</v>
      </c>
      <c r="Q80" s="4" t="s">
        <v>26</v>
      </c>
      <c r="R80" s="4">
        <v>0</v>
      </c>
      <c r="S80" s="4">
        <v>0</v>
      </c>
      <c r="T80" s="4">
        <v>31</v>
      </c>
      <c r="U80" s="4">
        <v>78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128.82</v>
      </c>
      <c r="X80" s="6">
        <f>IF(ISERROR(VLOOKUP($U$80,'TAR FIN'!$A$1:$O$85,15,0)),0,VLOOKUP($U$80,'TAR FIN'!$A$1:$O$85,15,0))</f>
        <v>77.56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0" s="6">
        <f>('TE BE'!$AB$12+'TE BF'!$AB$12+'TE CVA'!$AB$12)*(1-CUSTOS!$M$34)</f>
        <v>94.223287983308353</v>
      </c>
      <c r="AB80" s="6">
        <f t="shared" si="10"/>
        <v>0</v>
      </c>
      <c r="AC80" s="6">
        <f>(L80-M80)*(W80+X80)+($W$115+$X$115-$W$80-$X$80)*(L80)</f>
        <v>1425.8388</v>
      </c>
      <c r="AD80" s="6">
        <f t="shared" si="12"/>
        <v>0</v>
      </c>
      <c r="AE80" s="6">
        <f ca="1">(L80-M80)*(Z80+AA80)+($Z$115+$AA$115-$Z$80-$AA$80)*(L80)</f>
        <v>1502.064088967785</v>
      </c>
      <c r="AF80" s="4" t="s">
        <v>598</v>
      </c>
    </row>
    <row r="81" spans="1:32" ht="11.25" customHeight="1" x14ac:dyDescent="0.3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29</v>
      </c>
      <c r="F81" s="4" t="s">
        <v>25</v>
      </c>
      <c r="G81" s="4" t="s">
        <v>25</v>
      </c>
      <c r="H81" s="4" t="s">
        <v>25</v>
      </c>
      <c r="I81" s="5">
        <v>44621</v>
      </c>
      <c r="J81" s="6">
        <v>0</v>
      </c>
      <c r="K81" s="6">
        <v>0</v>
      </c>
      <c r="L81" s="6">
        <v>3.74</v>
      </c>
      <c r="M81" s="6">
        <v>3.74</v>
      </c>
      <c r="N81" s="6">
        <v>3.74</v>
      </c>
      <c r="O81" s="6">
        <v>3.74</v>
      </c>
      <c r="P81" s="6">
        <v>2</v>
      </c>
      <c r="Q81" s="4" t="s">
        <v>26</v>
      </c>
      <c r="R81" s="4">
        <v>0</v>
      </c>
      <c r="S81" s="4">
        <v>0</v>
      </c>
      <c r="T81" s="4">
        <v>31</v>
      </c>
      <c r="U81" s="4">
        <v>78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128.82</v>
      </c>
      <c r="X81" s="6">
        <f>IF(ISERROR(VLOOKUP($U$81,'TAR FIN'!$A$1:$O$85,15,0)),0,VLOOKUP($U$81,'TAR FIN'!$A$1:$O$85,15,0))</f>
        <v>77.56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1" s="6">
        <f>('TE BE'!$AB$12+'TE BF'!$AB$12+'TE CVA'!$AB$12)*(1-CUSTOS!$M$34)</f>
        <v>94.223287983308353</v>
      </c>
      <c r="AB81" s="6">
        <f t="shared" si="10"/>
        <v>0</v>
      </c>
      <c r="AC81" s="6">
        <f>(L81-M81)*(W81+X81)+($W$115+$X$115-$W$81-$X$81)*(L81)</f>
        <v>1433.5046</v>
      </c>
      <c r="AD81" s="6">
        <f t="shared" si="12"/>
        <v>0</v>
      </c>
      <c r="AE81" s="6">
        <f ca="1">(L81-M81)*(Z81+AA81)+($Z$115+$AA$115-$Z$81-$AA$81)*(L81)</f>
        <v>1510.1397023493323</v>
      </c>
      <c r="AF81" s="4" t="s">
        <v>598</v>
      </c>
    </row>
    <row r="82" spans="1:32" ht="11.25" customHeight="1" x14ac:dyDescent="0.3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29</v>
      </c>
      <c r="F82" s="4" t="s">
        <v>25</v>
      </c>
      <c r="G82" s="4" t="s">
        <v>25</v>
      </c>
      <c r="H82" s="4" t="s">
        <v>25</v>
      </c>
      <c r="I82" s="5">
        <v>44652</v>
      </c>
      <c r="J82" s="6">
        <v>0</v>
      </c>
      <c r="K82" s="6">
        <v>0</v>
      </c>
      <c r="L82" s="6">
        <v>3.84</v>
      </c>
      <c r="M82" s="6">
        <v>3.84</v>
      </c>
      <c r="N82" s="6">
        <v>3.84</v>
      </c>
      <c r="O82" s="6">
        <v>3.84</v>
      </c>
      <c r="P82" s="6">
        <v>0</v>
      </c>
      <c r="Q82" s="4" t="s">
        <v>26</v>
      </c>
      <c r="R82" s="4">
        <v>0</v>
      </c>
      <c r="S82" s="4">
        <v>0</v>
      </c>
      <c r="T82" s="4">
        <v>31</v>
      </c>
      <c r="U82" s="4">
        <v>78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128.82</v>
      </c>
      <c r="X82" s="6">
        <f>IF(ISERROR(VLOOKUP($U$82,'TAR FIN'!$A$1:$O$85,15,0)),0,VLOOKUP($U$82,'TAR FIN'!$A$1:$O$85,15,0))</f>
        <v>77.56</v>
      </c>
      <c r="Y82" s="6"/>
      <c r="Z82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2" s="6">
        <f>('TE BE'!$AB$12+'TE BF'!$AB$12+'TE CVA'!$AB$12)*(1-CUSTOS!$M$34)</f>
        <v>94.223287983308353</v>
      </c>
      <c r="AB82" s="6">
        <f t="shared" si="10"/>
        <v>0</v>
      </c>
      <c r="AC82" s="6">
        <f>(L82-M82)*(W82+X82)+($W$115+$X$115-$W$82-$X$82)*(L82)</f>
        <v>1471.8335999999997</v>
      </c>
      <c r="AD82" s="6">
        <f t="shared" si="12"/>
        <v>0</v>
      </c>
      <c r="AE82" s="6">
        <f ca="1">(L82-M82)*(Z82+AA82)+($Z$115+$AA$115-$Z$82-$AA$82)*(L82)</f>
        <v>1550.5177692570683</v>
      </c>
      <c r="AF82" s="4" t="s">
        <v>598</v>
      </c>
    </row>
    <row r="83" spans="1:32" ht="11.25" customHeight="1" x14ac:dyDescent="0.3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29</v>
      </c>
      <c r="F83" s="4" t="s">
        <v>25</v>
      </c>
      <c r="G83" s="4" t="s">
        <v>25</v>
      </c>
      <c r="H83" s="4" t="s">
        <v>25</v>
      </c>
      <c r="I83" s="5">
        <v>44682</v>
      </c>
      <c r="J83" s="6">
        <v>0</v>
      </c>
      <c r="K83" s="6">
        <v>0</v>
      </c>
      <c r="L83" s="6">
        <v>3.93</v>
      </c>
      <c r="M83" s="6">
        <v>3.93</v>
      </c>
      <c r="N83" s="6">
        <v>3.93</v>
      </c>
      <c r="O83" s="6">
        <v>3.93</v>
      </c>
      <c r="P83" s="6">
        <v>0</v>
      </c>
      <c r="Q83" s="4" t="s">
        <v>26</v>
      </c>
      <c r="R83" s="4">
        <v>0</v>
      </c>
      <c r="S83" s="4">
        <v>0</v>
      </c>
      <c r="T83" s="4">
        <v>31</v>
      </c>
      <c r="U83" s="4">
        <v>78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128.82</v>
      </c>
      <c r="X83" s="6">
        <f>IF(ISERROR(VLOOKUP($U$83,'TAR FIN'!$A$1:$O$85,15,0)),0,VLOOKUP($U$83,'TAR FIN'!$A$1:$O$85,15,0))</f>
        <v>77.56</v>
      </c>
      <c r="Y83" s="6"/>
      <c r="Z83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3" s="6">
        <f>('TE BE'!$AB$12+'TE BF'!$AB$12+'TE CVA'!$AB$12)*(1-CUSTOS!$M$34)</f>
        <v>94.223287983308353</v>
      </c>
      <c r="AB83" s="6">
        <f t="shared" si="10"/>
        <v>0</v>
      </c>
      <c r="AC83" s="6">
        <f>(L83-M83)*(W83+X83)+($W$115+$X$115-$W$83-$X$83)*(L83)</f>
        <v>1506.3297</v>
      </c>
      <c r="AD83" s="6">
        <f t="shared" si="12"/>
        <v>0</v>
      </c>
      <c r="AE83" s="6">
        <f ca="1">(L83-M83)*(Z83+AA83)+($Z$115+$AA$115-$Z$83-$AA$83)*(L83)</f>
        <v>1586.8580294740309</v>
      </c>
      <c r="AF83" s="4" t="s">
        <v>598</v>
      </c>
    </row>
    <row r="84" spans="1:32" ht="11.25" customHeight="1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29</v>
      </c>
      <c r="F84" s="4" t="s">
        <v>25</v>
      </c>
      <c r="G84" s="4" t="s">
        <v>25</v>
      </c>
      <c r="H84" s="4" t="s">
        <v>25</v>
      </c>
      <c r="I84" s="5">
        <v>44713</v>
      </c>
      <c r="J84" s="6">
        <v>0</v>
      </c>
      <c r="K84" s="6">
        <v>0</v>
      </c>
      <c r="L84" s="6">
        <v>7.44</v>
      </c>
      <c r="M84" s="6">
        <v>7.44</v>
      </c>
      <c r="N84" s="6">
        <v>7.44</v>
      </c>
      <c r="O84" s="6">
        <v>7.44</v>
      </c>
      <c r="P84" s="6">
        <v>3</v>
      </c>
      <c r="Q84" s="4" t="s">
        <v>26</v>
      </c>
      <c r="R84" s="4">
        <v>0</v>
      </c>
      <c r="S84" s="4">
        <v>0</v>
      </c>
      <c r="T84" s="4">
        <v>31</v>
      </c>
      <c r="U84" s="4">
        <v>78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128.82</v>
      </c>
      <c r="X84" s="6">
        <f>IF(ISERROR(VLOOKUP($U$84,'TAR FIN'!$A$1:$O$85,15,0)),0,VLOOKUP($U$84,'TAR FIN'!$A$1:$O$85,15,0))</f>
        <v>77.56</v>
      </c>
      <c r="Y84" s="6"/>
      <c r="Z84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4" s="6">
        <f>('TE BE'!$AB$12+'TE BF'!$AB$12+'TE CVA'!$AB$12)*(1-CUSTOS!$M$34)</f>
        <v>94.223287983308353</v>
      </c>
      <c r="AB84" s="6">
        <f t="shared" si="10"/>
        <v>0</v>
      </c>
      <c r="AC84" s="6">
        <f>(L84-M84)*(W84+X84)+($W$115+$X$115-$W$84-$X$84)*(L84)</f>
        <v>2851.6776</v>
      </c>
      <c r="AD84" s="6">
        <f t="shared" si="12"/>
        <v>0</v>
      </c>
      <c r="AE84" s="6">
        <f ca="1">(L84-M84)*(Z84+AA84)+($Z$115+$AA$115-$Z$84-$AA$84)*(L84)</f>
        <v>3004.12817793557</v>
      </c>
      <c r="AF84" s="4" t="s">
        <v>598</v>
      </c>
    </row>
    <row r="85" spans="1:32" ht="11.25" customHeight="1" x14ac:dyDescent="0.3">
      <c r="A85" s="4" t="s">
        <v>27</v>
      </c>
      <c r="B85" s="4" t="s">
        <v>22</v>
      </c>
      <c r="C85" s="4" t="s">
        <v>23</v>
      </c>
      <c r="D85" s="4" t="s">
        <v>24</v>
      </c>
      <c r="E85" s="4" t="s">
        <v>29</v>
      </c>
      <c r="F85" s="4" t="s">
        <v>25</v>
      </c>
      <c r="G85" s="4" t="s">
        <v>25</v>
      </c>
      <c r="H85" s="4" t="s">
        <v>25</v>
      </c>
      <c r="I85" s="5">
        <v>44713</v>
      </c>
      <c r="J85" s="6">
        <v>0</v>
      </c>
      <c r="K85" s="6">
        <v>0</v>
      </c>
      <c r="L85" s="6">
        <v>0.06</v>
      </c>
      <c r="M85" s="6">
        <v>0.06</v>
      </c>
      <c r="N85" s="6">
        <v>0.06</v>
      </c>
      <c r="O85" s="6">
        <v>0.06</v>
      </c>
      <c r="P85" s="6">
        <v>0</v>
      </c>
      <c r="Q85" s="4" t="s">
        <v>26</v>
      </c>
      <c r="R85" s="4">
        <v>0</v>
      </c>
      <c r="S85" s="4">
        <v>0</v>
      </c>
      <c r="T85" s="4">
        <v>31</v>
      </c>
      <c r="U85" s="4">
        <v>78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128.82</v>
      </c>
      <c r="X85" s="6">
        <f>IF(ISERROR(VLOOKUP($U$85,'TAR FIN'!$A$1:$O$85,15,0)),0,VLOOKUP($U$85,'TAR FIN'!$A$1:$O$85,15,0))</f>
        <v>77.56</v>
      </c>
      <c r="Y85" s="6"/>
      <c r="Z85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5" s="6">
        <f>('TE BE'!$AB$12+'TE BF'!$AB$12+'TE CVA'!$AB$12)*(1-CUSTOS!$M$34)</f>
        <v>94.223287983308353</v>
      </c>
      <c r="AB85" s="6">
        <f t="shared" si="10"/>
        <v>0</v>
      </c>
      <c r="AC85" s="6">
        <f>(L85-M85)*(W85+X85)+($W$115+$X$115-$W$85-$X$85)*(L85)</f>
        <v>22.997399999999995</v>
      </c>
      <c r="AD85" s="6">
        <f t="shared" si="12"/>
        <v>0</v>
      </c>
      <c r="AE85" s="6">
        <f ca="1">(L85-M85)*(Z85+AA85)+($Z$115+$AA$115-$Z$85-$AA$85)*(L85)</f>
        <v>24.226840144641692</v>
      </c>
      <c r="AF85" s="4" t="s">
        <v>598</v>
      </c>
    </row>
    <row r="86" spans="1:32" ht="11.25" customHeight="1" x14ac:dyDescent="0.3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29</v>
      </c>
      <c r="F86" s="4" t="s">
        <v>25</v>
      </c>
      <c r="G86" s="4" t="s">
        <v>25</v>
      </c>
      <c r="H86" s="4" t="s">
        <v>25</v>
      </c>
      <c r="I86" s="5">
        <v>44743</v>
      </c>
      <c r="J86" s="6">
        <v>0</v>
      </c>
      <c r="K86" s="6">
        <v>0</v>
      </c>
      <c r="L86" s="6">
        <v>7.4160000000000004</v>
      </c>
      <c r="M86" s="6">
        <v>7.4160000000000004</v>
      </c>
      <c r="N86" s="6">
        <v>7.4160000000000004</v>
      </c>
      <c r="O86" s="6">
        <v>7.4160000000000004</v>
      </c>
      <c r="P86" s="6">
        <v>11</v>
      </c>
      <c r="Q86" s="4" t="s">
        <v>26</v>
      </c>
      <c r="R86" s="4">
        <v>0</v>
      </c>
      <c r="S86" s="4">
        <v>0</v>
      </c>
      <c r="T86" s="4">
        <v>31</v>
      </c>
      <c r="U86" s="4">
        <v>78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128.82</v>
      </c>
      <c r="X86" s="6">
        <f>IF(ISERROR(VLOOKUP($U$86,'TAR FIN'!$A$1:$O$85,15,0)),0,VLOOKUP($U$86,'TAR FIN'!$A$1:$O$85,15,0))</f>
        <v>77.56</v>
      </c>
      <c r="Y86" s="6"/>
      <c r="Z86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6" s="6">
        <f>('TE BE'!$AB$12+'TE BF'!$AB$12+'TE CVA'!$AB$12)*(1-CUSTOS!$M$34)</f>
        <v>94.223287983308353</v>
      </c>
      <c r="AB86" s="6">
        <f t="shared" si="10"/>
        <v>0</v>
      </c>
      <c r="AC86" s="6">
        <f>(L86-M86)*(W86+X86)+($W$115+$X$115-$W$86-$X$86)*(L86)</f>
        <v>2842.4786399999998</v>
      </c>
      <c r="AD86" s="6">
        <f t="shared" si="12"/>
        <v>0</v>
      </c>
      <c r="AE86" s="6">
        <f ca="1">(L86-M86)*(Z86+AA86)+($Z$115+$AA$115-$Z$86-$AA$86)*(L86)</f>
        <v>2994.4374418777134</v>
      </c>
      <c r="AF86" s="4" t="s">
        <v>598</v>
      </c>
    </row>
    <row r="87" spans="1:32" ht="11.25" customHeight="1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44774</v>
      </c>
      <c r="J87" s="6">
        <v>0</v>
      </c>
      <c r="K87" s="6">
        <v>0</v>
      </c>
      <c r="L87" s="6">
        <v>5.55</v>
      </c>
      <c r="M87" s="6">
        <v>5.55</v>
      </c>
      <c r="N87" s="6">
        <v>5.55</v>
      </c>
      <c r="O87" s="6">
        <v>5.55</v>
      </c>
      <c r="P87" s="6">
        <v>3</v>
      </c>
      <c r="Q87" s="4" t="s">
        <v>26</v>
      </c>
      <c r="R87" s="4">
        <v>0</v>
      </c>
      <c r="S87" s="4">
        <v>0</v>
      </c>
      <c r="T87" s="4">
        <v>31</v>
      </c>
      <c r="U87" s="4">
        <v>78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128.82</v>
      </c>
      <c r="X87" s="6">
        <f>IF(ISERROR(VLOOKUP($U$87,'TAR FIN'!$A$1:$O$85,15,0)),0,VLOOKUP($U$87,'TAR FIN'!$A$1:$O$85,15,0))</f>
        <v>77.56</v>
      </c>
      <c r="Y87" s="6"/>
      <c r="Z87" s="6">
        <f ca="1">('TUSD BE'!$AM$21+'TUSD BF'!$AM$21+'TUSD CVA'!$AM$21-('TUSD BE'!$P$21+'TUSD BF'!$P$21+'TUSD CVA'!$P$21)-('TUSD BE'!$Q$21+'TUSD BF'!$Q$21+'TUSD CVA'!$Q$21)-('TUSD BE'!$R$21+'TUSD BF'!$R$21+'TUSD CVA'!$R$21))*(1-CUSTOS!$M$34)</f>
        <v>123.19707228911705</v>
      </c>
      <c r="AA87" s="6">
        <f>('TE BE'!$AB$12+'TE BF'!$AB$12+'TE CVA'!$AB$12)*(1-CUSTOS!$M$34)</f>
        <v>94.223287983308353</v>
      </c>
      <c r="AB87" s="6">
        <f t="shared" si="10"/>
        <v>0</v>
      </c>
      <c r="AC87" s="6">
        <f>(L87-M87)*(W87+X87)+($W$115+$X$115-$W$87-$X$87)*(L87)</f>
        <v>2127.2594999999997</v>
      </c>
      <c r="AD87" s="6">
        <f t="shared" si="12"/>
        <v>0</v>
      </c>
      <c r="AE87" s="6">
        <f ca="1">(L87-M87)*(Z87+AA87)+($Z$115+$AA$115-$Z$87-$AA$87)*(L87)</f>
        <v>2240.9827133793565</v>
      </c>
      <c r="AF87" s="4" t="s">
        <v>598</v>
      </c>
    </row>
    <row r="88" spans="1:32" ht="11.25" customHeight="1" x14ac:dyDescent="0.3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30</v>
      </c>
      <c r="F88" s="4" t="s">
        <v>25</v>
      </c>
      <c r="G88" s="4" t="s">
        <v>25</v>
      </c>
      <c r="H88" s="4" t="s">
        <v>25</v>
      </c>
      <c r="I88" s="5">
        <v>44440</v>
      </c>
      <c r="J88" s="6">
        <v>0</v>
      </c>
      <c r="K88" s="6">
        <v>0</v>
      </c>
      <c r="L88" s="6">
        <v>7.7220000000000004</v>
      </c>
      <c r="M88" s="6">
        <v>7.7220000000000004</v>
      </c>
      <c r="N88" s="6">
        <v>7.7220000000000004</v>
      </c>
      <c r="O88" s="6">
        <v>7.7220000000000004</v>
      </c>
      <c r="P88" s="6">
        <v>30</v>
      </c>
      <c r="Q88" s="4" t="s">
        <v>26</v>
      </c>
      <c r="R88" s="4">
        <v>0</v>
      </c>
      <c r="S88" s="4">
        <v>0</v>
      </c>
      <c r="T88" s="4">
        <v>33</v>
      </c>
      <c r="U88" s="4">
        <v>84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220.84</v>
      </c>
      <c r="X88" s="6">
        <f>IF(ISERROR(VLOOKUP($U$88,'TAR FIN'!$A$1:$O$85,15,0)),0,VLOOKUP($U$88,'TAR FIN'!$A$1:$O$85,15,0))</f>
        <v>132.96</v>
      </c>
      <c r="Y88" s="6"/>
      <c r="Z88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88" s="6">
        <f>('TE BE'!$AB$13+'TE BF'!$AB$13+'TE CVA'!$AB$13)*(1-CUSTOS!$M$35)</f>
        <v>161.52563654281434</v>
      </c>
      <c r="AB88" s="6">
        <f t="shared" si="10"/>
        <v>0</v>
      </c>
      <c r="AC88" s="6">
        <f>(L88-M88)*(W88+X88)+($W$115+$X$115-$W$88-$X$88)*(L88)</f>
        <v>1821.3881399999996</v>
      </c>
      <c r="AD88" s="6">
        <f t="shared" si="12"/>
        <v>0</v>
      </c>
      <c r="AE88" s="6">
        <f ca="1">(L88-M88)*(Z88+AA88)+($Z$115+$AA$115-$Z$88-$AA$88)*(L88)</f>
        <v>1918.765739455622</v>
      </c>
      <c r="AF88" s="4" t="s">
        <v>598</v>
      </c>
    </row>
    <row r="89" spans="1:32" ht="11.25" customHeight="1" x14ac:dyDescent="0.3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30</v>
      </c>
      <c r="F89" s="4" t="s">
        <v>25</v>
      </c>
      <c r="G89" s="4" t="s">
        <v>25</v>
      </c>
      <c r="H89" s="4" t="s">
        <v>25</v>
      </c>
      <c r="I89" s="5">
        <v>44470</v>
      </c>
      <c r="J89" s="6">
        <v>0</v>
      </c>
      <c r="K89" s="6">
        <v>0</v>
      </c>
      <c r="L89" s="6">
        <v>7.4450000000000003</v>
      </c>
      <c r="M89" s="6">
        <v>7.4450000000000003</v>
      </c>
      <c r="N89" s="6">
        <v>7.4450000000000003</v>
      </c>
      <c r="O89" s="6">
        <v>7.4450000000000003</v>
      </c>
      <c r="P89" s="6">
        <v>39</v>
      </c>
      <c r="Q89" s="4" t="s">
        <v>26</v>
      </c>
      <c r="R89" s="4">
        <v>0</v>
      </c>
      <c r="S89" s="4">
        <v>0</v>
      </c>
      <c r="T89" s="4">
        <v>33</v>
      </c>
      <c r="U89" s="4">
        <v>84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220.84</v>
      </c>
      <c r="X89" s="6">
        <f>IF(ISERROR(VLOOKUP($U$89,'TAR FIN'!$A$1:$O$85,15,0)),0,VLOOKUP($U$89,'TAR FIN'!$A$1:$O$85,15,0))</f>
        <v>132.96</v>
      </c>
      <c r="Y89" s="6"/>
      <c r="Z89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89" s="6">
        <f>('TE BE'!$AB$13+'TE BF'!$AB$13+'TE CVA'!$AB$13)*(1-CUSTOS!$M$35)</f>
        <v>161.52563654281434</v>
      </c>
      <c r="AB89" s="6">
        <f t="shared" si="10"/>
        <v>0</v>
      </c>
      <c r="AC89" s="6">
        <f>(L89-M89)*(W89+X89)+($W$115+$X$115-$W$89-$X$89)*(L89)</f>
        <v>1756.0521499999995</v>
      </c>
      <c r="AD89" s="6">
        <f t="shared" si="12"/>
        <v>0</v>
      </c>
      <c r="AE89" s="6">
        <f ca="1">(L89-M89)*(Z89+AA89)+($Z$115+$AA$115-$Z$89-$AA$89)*(L89)</f>
        <v>1849.9366654036658</v>
      </c>
      <c r="AF89" s="4" t="s">
        <v>598</v>
      </c>
    </row>
    <row r="90" spans="1:32" ht="11.25" customHeight="1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30</v>
      </c>
      <c r="F90" s="4" t="s">
        <v>25</v>
      </c>
      <c r="G90" s="4" t="s">
        <v>25</v>
      </c>
      <c r="H90" s="4" t="s">
        <v>25</v>
      </c>
      <c r="I90" s="5">
        <v>44501</v>
      </c>
      <c r="J90" s="6">
        <v>0</v>
      </c>
      <c r="K90" s="6">
        <v>0</v>
      </c>
      <c r="L90" s="6">
        <v>7.48</v>
      </c>
      <c r="M90" s="6">
        <v>7.48</v>
      </c>
      <c r="N90" s="6">
        <v>7.48</v>
      </c>
      <c r="O90" s="6">
        <v>7.48</v>
      </c>
      <c r="P90" s="6">
        <v>32</v>
      </c>
      <c r="Q90" s="4" t="s">
        <v>26</v>
      </c>
      <c r="R90" s="4">
        <v>0</v>
      </c>
      <c r="S90" s="4">
        <v>0</v>
      </c>
      <c r="T90" s="4">
        <v>33</v>
      </c>
      <c r="U90" s="4">
        <v>84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220.84</v>
      </c>
      <c r="X90" s="6">
        <f>IF(ISERROR(VLOOKUP($U$90,'TAR FIN'!$A$1:$O$85,15,0)),0,VLOOKUP($U$90,'TAR FIN'!$A$1:$O$85,15,0))</f>
        <v>132.96</v>
      </c>
      <c r="Y90" s="6"/>
      <c r="Z90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0" s="6">
        <f>('TE BE'!$AB$13+'TE BF'!$AB$13+'TE CVA'!$AB$13)*(1-CUSTOS!$M$35)</f>
        <v>161.52563654281434</v>
      </c>
      <c r="AB90" s="6">
        <f t="shared" si="10"/>
        <v>0</v>
      </c>
      <c r="AC90" s="6">
        <f>(L90-M90)*(W90+X90)+($W$115+$X$115-$W$90-$X$90)*(L90)</f>
        <v>1764.3075999999994</v>
      </c>
      <c r="AD90" s="6">
        <f t="shared" si="12"/>
        <v>0</v>
      </c>
      <c r="AE90" s="6">
        <f ca="1">(L90-M90)*(Z90+AA90)+($Z$115+$AA$115-$Z$90-$AA$90)*(L90)</f>
        <v>1858.6334798145626</v>
      </c>
      <c r="AF90" s="4" t="s">
        <v>598</v>
      </c>
    </row>
    <row r="91" spans="1:32" ht="11.25" customHeight="1" x14ac:dyDescent="0.3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30</v>
      </c>
      <c r="F91" s="4" t="s">
        <v>25</v>
      </c>
      <c r="G91" s="4" t="s">
        <v>25</v>
      </c>
      <c r="H91" s="4" t="s">
        <v>25</v>
      </c>
      <c r="I91" s="5">
        <v>44531</v>
      </c>
      <c r="J91" s="6">
        <v>0</v>
      </c>
      <c r="K91" s="6">
        <v>0</v>
      </c>
      <c r="L91" s="6">
        <v>7.7610000000000001</v>
      </c>
      <c r="M91" s="6">
        <v>7.7610000000000001</v>
      </c>
      <c r="N91" s="6">
        <v>7.7610000000000001</v>
      </c>
      <c r="O91" s="6">
        <v>7.7610000000000001</v>
      </c>
      <c r="P91" s="6">
        <v>27</v>
      </c>
      <c r="Q91" s="4" t="s">
        <v>26</v>
      </c>
      <c r="R91" s="4">
        <v>0</v>
      </c>
      <c r="S91" s="4">
        <v>0</v>
      </c>
      <c r="T91" s="4">
        <v>33</v>
      </c>
      <c r="U91" s="4">
        <v>84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220.84</v>
      </c>
      <c r="X91" s="6">
        <f>IF(ISERROR(VLOOKUP($U$91,'TAR FIN'!$A$1:$O$85,15,0)),0,VLOOKUP($U$91,'TAR FIN'!$A$1:$O$85,15,0))</f>
        <v>132.96</v>
      </c>
      <c r="Y91" s="6"/>
      <c r="Z91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1" s="6">
        <f>('TE BE'!$AB$13+'TE BF'!$AB$13+'TE CVA'!$AB$13)*(1-CUSTOS!$M$35)</f>
        <v>161.52563654281434</v>
      </c>
      <c r="AB91" s="6">
        <f t="shared" si="10"/>
        <v>0</v>
      </c>
      <c r="AC91" s="6">
        <f>(L91-M91)*(W91+X91)+($W$115+$X$115-$W$91-$X$91)*(L91)</f>
        <v>1830.5870699999994</v>
      </c>
      <c r="AD91" s="6">
        <f t="shared" si="12"/>
        <v>0</v>
      </c>
      <c r="AE91" s="6">
        <f ca="1">(L91-M91)*(Z91+AA91)+($Z$115+$AA$115-$Z$91-$AA$91)*(L91)</f>
        <v>1928.4564755134786</v>
      </c>
      <c r="AF91" s="4" t="s">
        <v>598</v>
      </c>
    </row>
    <row r="92" spans="1:32" ht="11.25" customHeight="1" x14ac:dyDescent="0.3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30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7.7949999999999999</v>
      </c>
      <c r="M92" s="6">
        <v>7.7949999999999999</v>
      </c>
      <c r="N92" s="6">
        <v>7.7949999999999999</v>
      </c>
      <c r="O92" s="6">
        <v>7.7949999999999999</v>
      </c>
      <c r="P92" s="6">
        <v>20</v>
      </c>
      <c r="Q92" s="4" t="s">
        <v>26</v>
      </c>
      <c r="R92" s="4">
        <v>0</v>
      </c>
      <c r="S92" s="4">
        <v>0</v>
      </c>
      <c r="T92" s="4">
        <v>33</v>
      </c>
      <c r="U92" s="4">
        <v>84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220.84</v>
      </c>
      <c r="X92" s="6">
        <f>IF(ISERROR(VLOOKUP($U$92,'TAR FIN'!$A$1:$O$85,15,0)),0,VLOOKUP($U$92,'TAR FIN'!$A$1:$O$85,15,0))</f>
        <v>132.96</v>
      </c>
      <c r="Y92" s="6"/>
      <c r="Z92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2" s="6">
        <f>('TE BE'!$AB$13+'TE BF'!$AB$13+'TE CVA'!$AB$13)*(1-CUSTOS!$M$35)</f>
        <v>161.52563654281434</v>
      </c>
      <c r="AB92" s="6">
        <f t="shared" si="10"/>
        <v>0</v>
      </c>
      <c r="AC92" s="6">
        <f>(L92-M92)*(W92+X92)+($W$115+$X$115-$W$92-$X$92)*(L92)</f>
        <v>1838.6066499999993</v>
      </c>
      <c r="AD92" s="6">
        <f t="shared" si="12"/>
        <v>0</v>
      </c>
      <c r="AE92" s="6">
        <f ca="1">(L92-M92)*(Z92+AA92)+($Z$115+$AA$115-$Z$92-$AA$92)*(L92)</f>
        <v>1936.9048095126357</v>
      </c>
      <c r="AF92" s="4" t="s">
        <v>598</v>
      </c>
    </row>
    <row r="93" spans="1:32" ht="11.25" customHeight="1" x14ac:dyDescent="0.3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30</v>
      </c>
      <c r="F93" s="4" t="s">
        <v>25</v>
      </c>
      <c r="G93" s="4" t="s">
        <v>25</v>
      </c>
      <c r="H93" s="4" t="s">
        <v>25</v>
      </c>
      <c r="I93" s="5">
        <v>44593</v>
      </c>
      <c r="J93" s="6">
        <v>0</v>
      </c>
      <c r="K93" s="6">
        <v>0</v>
      </c>
      <c r="L93" s="6">
        <v>8.0180000000000007</v>
      </c>
      <c r="M93" s="6">
        <v>8.0180000000000007</v>
      </c>
      <c r="N93" s="6">
        <v>8.0180000000000007</v>
      </c>
      <c r="O93" s="6">
        <v>8.0180000000000007</v>
      </c>
      <c r="P93" s="6">
        <v>24</v>
      </c>
      <c r="Q93" s="4" t="s">
        <v>26</v>
      </c>
      <c r="R93" s="4">
        <v>0</v>
      </c>
      <c r="S93" s="4">
        <v>0</v>
      </c>
      <c r="T93" s="4">
        <v>33</v>
      </c>
      <c r="U93" s="4">
        <v>84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220.84</v>
      </c>
      <c r="X93" s="6">
        <f>IF(ISERROR(VLOOKUP($U$93,'TAR FIN'!$A$1:$O$85,15,0)),0,VLOOKUP($U$93,'TAR FIN'!$A$1:$O$85,15,0))</f>
        <v>132.96</v>
      </c>
      <c r="Y93" s="6"/>
      <c r="Z93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3" s="6">
        <f>('TE BE'!$AB$13+'TE BF'!$AB$13+'TE CVA'!$AB$13)*(1-CUSTOS!$M$35)</f>
        <v>161.52563654281434</v>
      </c>
      <c r="AB93" s="6">
        <f t="shared" si="10"/>
        <v>0</v>
      </c>
      <c r="AC93" s="6">
        <f>(L93-M93)*(W93+X93)+($W$115+$X$115-$W$93-$X$93)*(L93)</f>
        <v>1891.2056599999996</v>
      </c>
      <c r="AD93" s="6">
        <f t="shared" si="12"/>
        <v>0</v>
      </c>
      <c r="AE93" s="6">
        <f ca="1">(L93-M93)*(Z93+AA93)+($Z$115+$AA$115-$Z$93-$AA$93)*(L93)</f>
        <v>1992.3159413306369</v>
      </c>
      <c r="AF93" s="4" t="s">
        <v>598</v>
      </c>
    </row>
    <row r="94" spans="1:32" ht="11.25" customHeight="1" x14ac:dyDescent="0.3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30</v>
      </c>
      <c r="F94" s="4" t="s">
        <v>25</v>
      </c>
      <c r="G94" s="4" t="s">
        <v>25</v>
      </c>
      <c r="H94" s="4" t="s">
        <v>25</v>
      </c>
      <c r="I94" s="5">
        <v>44621</v>
      </c>
      <c r="J94" s="6">
        <v>0</v>
      </c>
      <c r="K94" s="6">
        <v>0</v>
      </c>
      <c r="L94" s="6">
        <v>8.0980000000000008</v>
      </c>
      <c r="M94" s="6">
        <v>8.0980000000000008</v>
      </c>
      <c r="N94" s="6">
        <v>8.0980000000000008</v>
      </c>
      <c r="O94" s="6">
        <v>8.0980000000000008</v>
      </c>
      <c r="P94" s="6">
        <v>20</v>
      </c>
      <c r="Q94" s="4" t="s">
        <v>26</v>
      </c>
      <c r="R94" s="4">
        <v>0</v>
      </c>
      <c r="S94" s="4">
        <v>0</v>
      </c>
      <c r="T94" s="4">
        <v>33</v>
      </c>
      <c r="U94" s="4">
        <v>84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220.84</v>
      </c>
      <c r="X94" s="6">
        <f>IF(ISERROR(VLOOKUP($U$94,'TAR FIN'!$A$1:$O$85,15,0)),0,VLOOKUP($U$94,'TAR FIN'!$A$1:$O$85,15,0))</f>
        <v>132.96</v>
      </c>
      <c r="Y94" s="6"/>
      <c r="Z94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4" s="6">
        <f>('TE BE'!$AB$13+'TE BF'!$AB$13+'TE CVA'!$AB$13)*(1-CUSTOS!$M$35)</f>
        <v>161.52563654281434</v>
      </c>
      <c r="AB94" s="6">
        <f t="shared" si="10"/>
        <v>0</v>
      </c>
      <c r="AC94" s="6">
        <f>(L94-M94)*(W94+X94)+($W$115+$X$115-$W$94-$X$94)*(L94)</f>
        <v>1910.0752599999996</v>
      </c>
      <c r="AD94" s="6">
        <f t="shared" si="12"/>
        <v>0</v>
      </c>
      <c r="AE94" s="6">
        <f ca="1">(L94-M94)*(Z94+AA94)+($Z$115+$AA$115-$Z$94-$AA$94)*(L94)</f>
        <v>2012.1943742698302</v>
      </c>
      <c r="AF94" s="4" t="s">
        <v>598</v>
      </c>
    </row>
    <row r="95" spans="1:32" ht="11.25" customHeight="1" x14ac:dyDescent="0.3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30</v>
      </c>
      <c r="F95" s="4" t="s">
        <v>25</v>
      </c>
      <c r="G95" s="4" t="s">
        <v>25</v>
      </c>
      <c r="H95" s="4" t="s">
        <v>25</v>
      </c>
      <c r="I95" s="5">
        <v>44652</v>
      </c>
      <c r="J95" s="6">
        <v>0</v>
      </c>
      <c r="K95" s="6">
        <v>0</v>
      </c>
      <c r="L95" s="6">
        <v>8.4</v>
      </c>
      <c r="M95" s="6">
        <v>8.4</v>
      </c>
      <c r="N95" s="6">
        <v>8.4</v>
      </c>
      <c r="O95" s="6">
        <v>8.4</v>
      </c>
      <c r="P95" s="6">
        <v>23</v>
      </c>
      <c r="Q95" s="4" t="s">
        <v>26</v>
      </c>
      <c r="R95" s="4">
        <v>0</v>
      </c>
      <c r="S95" s="4">
        <v>0</v>
      </c>
      <c r="T95" s="4">
        <v>33</v>
      </c>
      <c r="U95" s="4">
        <v>84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220.84</v>
      </c>
      <c r="X95" s="6">
        <f>IF(ISERROR(VLOOKUP($U$95,'TAR FIN'!$A$1:$O$85,15,0)),0,VLOOKUP($U$95,'TAR FIN'!$A$1:$O$85,15,0))</f>
        <v>132.96</v>
      </c>
      <c r="Y95" s="6"/>
      <c r="Z95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5" s="6">
        <f>('TE BE'!$AB$13+'TE BF'!$AB$13+'TE CVA'!$AB$13)*(1-CUSTOS!$M$35)</f>
        <v>161.52563654281434</v>
      </c>
      <c r="AB95" s="6">
        <f t="shared" si="10"/>
        <v>0</v>
      </c>
      <c r="AC95" s="6">
        <f>(L95-M95)*(W95+X95)+($W$115+$X$115-$W$95-$X$95)*(L95)</f>
        <v>1981.3079999999993</v>
      </c>
      <c r="AD95" s="6">
        <f t="shared" si="12"/>
        <v>0</v>
      </c>
      <c r="AE95" s="6">
        <f ca="1">(L95-M95)*(Z95+AA95)+($Z$115+$AA$115-$Z$95-$AA$95)*(L95)</f>
        <v>2087.2354586152842</v>
      </c>
      <c r="AF95" s="4" t="s">
        <v>598</v>
      </c>
    </row>
    <row r="96" spans="1:32" ht="11.25" customHeight="1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30</v>
      </c>
      <c r="F96" s="4" t="s">
        <v>25</v>
      </c>
      <c r="G96" s="4" t="s">
        <v>25</v>
      </c>
      <c r="H96" s="4" t="s">
        <v>25</v>
      </c>
      <c r="I96" s="5">
        <v>44682</v>
      </c>
      <c r="J96" s="6">
        <v>0</v>
      </c>
      <c r="K96" s="6">
        <v>0</v>
      </c>
      <c r="L96" s="6">
        <v>8.14</v>
      </c>
      <c r="M96" s="6">
        <v>8.14</v>
      </c>
      <c r="N96" s="6">
        <v>8.14</v>
      </c>
      <c r="O96" s="6">
        <v>8.14</v>
      </c>
      <c r="P96" s="6">
        <v>35</v>
      </c>
      <c r="Q96" s="4" t="s">
        <v>26</v>
      </c>
      <c r="R96" s="4">
        <v>0</v>
      </c>
      <c r="S96" s="4">
        <v>0</v>
      </c>
      <c r="T96" s="4">
        <v>33</v>
      </c>
      <c r="U96" s="4">
        <v>84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220.84</v>
      </c>
      <c r="X96" s="6">
        <f>IF(ISERROR(VLOOKUP($U$96,'TAR FIN'!$A$1:$O$85,15,0)),0,VLOOKUP($U$96,'TAR FIN'!$A$1:$O$85,15,0))</f>
        <v>132.96</v>
      </c>
      <c r="Y96" s="6"/>
      <c r="Z96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6" s="6">
        <f>('TE BE'!$AB$13+'TE BF'!$AB$13+'TE CVA'!$AB$13)*(1-CUSTOS!$M$35)</f>
        <v>161.52563654281434</v>
      </c>
      <c r="AB96" s="6">
        <f t="shared" si="10"/>
        <v>0</v>
      </c>
      <c r="AC96" s="6">
        <f>(L96-M96)*(W96+X96)+($W$115+$X$115-$W$96-$X$96)*(L96)</f>
        <v>1919.9817999999996</v>
      </c>
      <c r="AD96" s="6">
        <f t="shared" si="12"/>
        <v>0</v>
      </c>
      <c r="AE96" s="6">
        <f ca="1">(L96-M96)*(Z96+AA96)+($Z$115+$AA$115-$Z$96-$AA$96)*(L96)</f>
        <v>2022.6305515629065</v>
      </c>
      <c r="AF96" s="4" t="s">
        <v>598</v>
      </c>
    </row>
    <row r="97" spans="1:32" ht="11.25" customHeight="1" x14ac:dyDescent="0.3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30</v>
      </c>
      <c r="F97" s="4" t="s">
        <v>25</v>
      </c>
      <c r="G97" s="4" t="s">
        <v>25</v>
      </c>
      <c r="H97" s="4" t="s">
        <v>25</v>
      </c>
      <c r="I97" s="5">
        <v>44713</v>
      </c>
      <c r="J97" s="6">
        <v>0</v>
      </c>
      <c r="K97" s="6">
        <v>0</v>
      </c>
      <c r="L97" s="6">
        <v>12.893000000000001</v>
      </c>
      <c r="M97" s="6">
        <v>12.893000000000001</v>
      </c>
      <c r="N97" s="6">
        <v>12.893000000000001</v>
      </c>
      <c r="O97" s="6">
        <v>12.893000000000001</v>
      </c>
      <c r="P97" s="6">
        <v>119</v>
      </c>
      <c r="Q97" s="4" t="s">
        <v>26</v>
      </c>
      <c r="R97" s="4">
        <v>0</v>
      </c>
      <c r="S97" s="4">
        <v>0</v>
      </c>
      <c r="T97" s="4">
        <v>33</v>
      </c>
      <c r="U97" s="4">
        <v>84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220.84</v>
      </c>
      <c r="X97" s="6">
        <f>IF(ISERROR(VLOOKUP($U$97,'TAR FIN'!$A$1:$O$85,15,0)),0,VLOOKUP($U$97,'TAR FIN'!$A$1:$O$85,15,0))</f>
        <v>132.96</v>
      </c>
      <c r="Y97" s="6"/>
      <c r="Z97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7" s="6">
        <f>('TE BE'!$AB$13+'TE BF'!$AB$13+'TE CVA'!$AB$13)*(1-CUSTOS!$M$35)</f>
        <v>161.52563654281434</v>
      </c>
      <c r="AB97" s="6">
        <f t="shared" si="10"/>
        <v>0</v>
      </c>
      <c r="AC97" s="6">
        <f>(L97-M97)*(W97+X97)+($W$115+$X$115-$W$97-$X$97)*(L97)</f>
        <v>3041.0719099999992</v>
      </c>
      <c r="AD97" s="6">
        <f t="shared" si="12"/>
        <v>0</v>
      </c>
      <c r="AE97" s="6">
        <f ca="1">(L97-M97)*(Z97+AA97)+($Z$115+$AA$115-$Z$97-$AA$97)*(L97)</f>
        <v>3203.6579485627217</v>
      </c>
      <c r="AF97" s="4" t="s">
        <v>598</v>
      </c>
    </row>
    <row r="98" spans="1:32" ht="11.25" customHeight="1" x14ac:dyDescent="0.3">
      <c r="A98" s="4" t="s">
        <v>27</v>
      </c>
      <c r="B98" s="4" t="s">
        <v>22</v>
      </c>
      <c r="C98" s="4" t="s">
        <v>23</v>
      </c>
      <c r="D98" s="4" t="s">
        <v>24</v>
      </c>
      <c r="E98" s="4" t="s">
        <v>30</v>
      </c>
      <c r="F98" s="4" t="s">
        <v>25</v>
      </c>
      <c r="G98" s="4" t="s">
        <v>25</v>
      </c>
      <c r="H98" s="4" t="s">
        <v>25</v>
      </c>
      <c r="I98" s="5">
        <v>44713</v>
      </c>
      <c r="J98" s="6">
        <v>0</v>
      </c>
      <c r="K98" s="6">
        <v>0</v>
      </c>
      <c r="L98" s="6">
        <v>0.14000000000000001</v>
      </c>
      <c r="M98" s="6">
        <v>0.14000000000000001</v>
      </c>
      <c r="N98" s="6">
        <v>0.14000000000000001</v>
      </c>
      <c r="O98" s="6">
        <v>0.14000000000000001</v>
      </c>
      <c r="P98" s="6">
        <v>0</v>
      </c>
      <c r="Q98" s="4" t="s">
        <v>26</v>
      </c>
      <c r="R98" s="4">
        <v>0</v>
      </c>
      <c r="S98" s="4">
        <v>0</v>
      </c>
      <c r="T98" s="4">
        <v>33</v>
      </c>
      <c r="U98" s="4">
        <v>84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220.84</v>
      </c>
      <c r="X98" s="6">
        <f>IF(ISERROR(VLOOKUP($U$98,'TAR FIN'!$A$1:$O$85,15,0)),0,VLOOKUP($U$98,'TAR FIN'!$A$1:$O$85,15,0))</f>
        <v>132.96</v>
      </c>
      <c r="Y98" s="6"/>
      <c r="Z98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8" s="6">
        <f>('TE BE'!$AB$13+'TE BF'!$AB$13+'TE CVA'!$AB$13)*(1-CUSTOS!$M$35)</f>
        <v>161.52563654281434</v>
      </c>
      <c r="AB98" s="6">
        <f t="shared" ref="AB98:AB129" si="14">(J98-K98)*V98</f>
        <v>0</v>
      </c>
      <c r="AC98" s="6">
        <f>(L98-M98)*(W98+X98)+($W$115+$X$115-$W$98-$X$98)*(L98)</f>
        <v>33.021799999999992</v>
      </c>
      <c r="AD98" s="6">
        <f t="shared" ref="AD98:AD129" si="15">(J98-K98)*Y98</f>
        <v>0</v>
      </c>
      <c r="AE98" s="6">
        <f ca="1">(L98-M98)*(Z98+AA98)+($Z$115+$AA$115-$Z$98-$AA$98)*(L98)</f>
        <v>34.78725764358807</v>
      </c>
      <c r="AF98" s="4" t="s">
        <v>598</v>
      </c>
    </row>
    <row r="99" spans="1:32" ht="11.25" customHeight="1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44743</v>
      </c>
      <c r="J99" s="6">
        <v>0</v>
      </c>
      <c r="K99" s="6">
        <v>0</v>
      </c>
      <c r="L99" s="6">
        <v>12.66</v>
      </c>
      <c r="M99" s="6">
        <v>12.66</v>
      </c>
      <c r="N99" s="6">
        <v>12.66</v>
      </c>
      <c r="O99" s="6">
        <v>12.66</v>
      </c>
      <c r="P99" s="6">
        <v>115</v>
      </c>
      <c r="Q99" s="4" t="s">
        <v>26</v>
      </c>
      <c r="R99" s="4">
        <v>0</v>
      </c>
      <c r="S99" s="4">
        <v>0</v>
      </c>
      <c r="T99" s="4">
        <v>33</v>
      </c>
      <c r="U99" s="4">
        <v>84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220.84</v>
      </c>
      <c r="X99" s="6">
        <f>IF(ISERROR(VLOOKUP($U$99,'TAR FIN'!$A$1:$O$85,15,0)),0,VLOOKUP($U$99,'TAR FIN'!$A$1:$O$85,15,0))</f>
        <v>132.96</v>
      </c>
      <c r="Y99" s="6"/>
      <c r="Z99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99" s="6">
        <f>('TE BE'!$AB$13+'TE BF'!$AB$13+'TE CVA'!$AB$13)*(1-CUSTOS!$M$35)</f>
        <v>161.52563654281434</v>
      </c>
      <c r="AB99" s="6">
        <f t="shared" si="14"/>
        <v>0</v>
      </c>
      <c r="AC99" s="6">
        <f>(L99-M99)*(W99+X99)+($W$115+$X$115-$W$99-$X$99)*(L99)</f>
        <v>2986.1141999999991</v>
      </c>
      <c r="AD99" s="6">
        <f t="shared" si="15"/>
        <v>0</v>
      </c>
      <c r="AE99" s="6">
        <f ca="1">(L99-M99)*(Z99+AA99)+($Z$115+$AA$115-$Z$99-$AA$99)*(L99)</f>
        <v>3145.7620126273214</v>
      </c>
      <c r="AF99" s="4" t="s">
        <v>598</v>
      </c>
    </row>
    <row r="100" spans="1:32" ht="11.25" customHeight="1" x14ac:dyDescent="0.3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44774</v>
      </c>
      <c r="J100" s="6">
        <v>0</v>
      </c>
      <c r="K100" s="6">
        <v>0</v>
      </c>
      <c r="L100" s="6">
        <v>10.305999999999999</v>
      </c>
      <c r="M100" s="6">
        <v>10.305999999999999</v>
      </c>
      <c r="N100" s="6">
        <v>10.305999999999999</v>
      </c>
      <c r="O100" s="6">
        <v>10.305999999999999</v>
      </c>
      <c r="P100" s="6">
        <v>74</v>
      </c>
      <c r="Q100" s="4" t="s">
        <v>26</v>
      </c>
      <c r="R100" s="4">
        <v>0</v>
      </c>
      <c r="S100" s="4">
        <v>0</v>
      </c>
      <c r="T100" s="4">
        <v>33</v>
      </c>
      <c r="U100" s="4">
        <v>84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220.84</v>
      </c>
      <c r="X100" s="6">
        <f>IF(ISERROR(VLOOKUP($U$100,'TAR FIN'!$A$1:$O$85,15,0)),0,VLOOKUP($U$100,'TAR FIN'!$A$1:$O$85,15,0))</f>
        <v>132.96</v>
      </c>
      <c r="Y100" s="6"/>
      <c r="Z100" s="6">
        <f ca="1">('TUSD BE'!$AM$22+'TUSD BF'!$AM$22+'TUSD CVA'!$AM$22-('TUSD BE'!$P$22+'TUSD BF'!$P$22+'TUSD CVA'!$P$22)-('TUSD BE'!$Q$22+'TUSD BF'!$Q$22+'TUSD CVA'!$Q$22)-('TUSD BE'!$R$22+'TUSD BF'!$R$22+'TUSD CVA'!$R$22))*(1-CUSTOS!$M$35)</f>
        <v>211.1949810670578</v>
      </c>
      <c r="AA100" s="6">
        <f>('TE BE'!$AB$13+'TE BF'!$AB$13+'TE CVA'!$AB$13)*(1-CUSTOS!$M$35)</f>
        <v>161.52563654281434</v>
      </c>
      <c r="AB100" s="6">
        <f t="shared" si="14"/>
        <v>0</v>
      </c>
      <c r="AC100" s="6">
        <f>(L100-M100)*(W100+X100)+($W$115+$X$115-$W$100-$X$100)*(L100)</f>
        <v>2430.8762199999992</v>
      </c>
      <c r="AD100" s="6">
        <f t="shared" si="15"/>
        <v>0</v>
      </c>
      <c r="AE100" s="6">
        <f ca="1">(L100-M100)*(Z100+AA100)+($Z$115+$AA$115-$Z$100-$AA$100)*(L100)</f>
        <v>2560.8391233915618</v>
      </c>
      <c r="AF100" s="4" t="s">
        <v>598</v>
      </c>
    </row>
    <row r="101" spans="1:32" ht="11.25" customHeight="1" x14ac:dyDescent="0.3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31</v>
      </c>
      <c r="F101" s="4" t="s">
        <v>25</v>
      </c>
      <c r="G101" s="4" t="s">
        <v>25</v>
      </c>
      <c r="H101" s="4" t="s">
        <v>25</v>
      </c>
      <c r="I101" s="5">
        <v>44440</v>
      </c>
      <c r="J101" s="6">
        <v>0</v>
      </c>
      <c r="K101" s="6">
        <v>0</v>
      </c>
      <c r="L101" s="6">
        <v>7.3079999999999998</v>
      </c>
      <c r="M101" s="6">
        <v>7.3079999999999998</v>
      </c>
      <c r="N101" s="6">
        <v>7.3079999999999998</v>
      </c>
      <c r="O101" s="6">
        <v>7.3079999999999998</v>
      </c>
      <c r="P101" s="6">
        <v>88</v>
      </c>
      <c r="Q101" s="4" t="s">
        <v>26</v>
      </c>
      <c r="R101" s="4">
        <v>0</v>
      </c>
      <c r="S101" s="4">
        <v>0</v>
      </c>
      <c r="T101" s="4">
        <v>43</v>
      </c>
      <c r="U101" s="4">
        <v>74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331.26</v>
      </c>
      <c r="X101" s="6">
        <f>IF(ISERROR(VLOOKUP($U$101,'TAR FIN'!$A$1:$O$85,15,0)),0,VLOOKUP($U$101,'TAR FIN'!$A$1:$O$85,15,0))</f>
        <v>199.44</v>
      </c>
      <c r="Y101" s="6"/>
      <c r="Z101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1" s="6">
        <f>('TE BE'!$AB$14+'TE BF'!$AB$14+'TE CVA'!$AB$14)*(1-CUSTOS!$M$36)</f>
        <v>242.2884548142215</v>
      </c>
      <c r="AB101" s="6">
        <f t="shared" si="14"/>
        <v>0</v>
      </c>
      <c r="AC101" s="6">
        <f>(L101-M101)*(W101+X101)+($W$115+$X$115-$W$101-$X$101)*(L101)</f>
        <v>430.95275999999978</v>
      </c>
      <c r="AD101" s="6">
        <f t="shared" si="15"/>
        <v>0</v>
      </c>
      <c r="AE101" s="6">
        <f ca="1">(L101-M101)*(Z101+AA101)+($Z$115+$AA$115-$Z$101-$AA$101)*(L101)</f>
        <v>453.97371224882448</v>
      </c>
      <c r="AF101" s="4" t="s">
        <v>598</v>
      </c>
    </row>
    <row r="102" spans="1:32" ht="11.25" customHeight="1" x14ac:dyDescent="0.3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31</v>
      </c>
      <c r="F102" s="4" t="s">
        <v>25</v>
      </c>
      <c r="G102" s="4" t="s">
        <v>25</v>
      </c>
      <c r="H102" s="4" t="s">
        <v>25</v>
      </c>
      <c r="I102" s="5">
        <v>44470</v>
      </c>
      <c r="J102" s="6">
        <v>0</v>
      </c>
      <c r="K102" s="6">
        <v>0</v>
      </c>
      <c r="L102" s="6">
        <v>5.2969999999999997</v>
      </c>
      <c r="M102" s="6">
        <v>5.2969999999999997</v>
      </c>
      <c r="N102" s="6">
        <v>5.2969999999999997</v>
      </c>
      <c r="O102" s="6">
        <v>5.2969999999999997</v>
      </c>
      <c r="P102" s="6">
        <v>68</v>
      </c>
      <c r="Q102" s="4" t="s">
        <v>26</v>
      </c>
      <c r="R102" s="4">
        <v>0</v>
      </c>
      <c r="S102" s="4">
        <v>0</v>
      </c>
      <c r="T102" s="4">
        <v>43</v>
      </c>
      <c r="U102" s="4">
        <v>74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331.26</v>
      </c>
      <c r="X102" s="6">
        <f>IF(ISERROR(VLOOKUP($U$102,'TAR FIN'!$A$1:$O$85,15,0)),0,VLOOKUP($U$102,'TAR FIN'!$A$1:$O$85,15,0))</f>
        <v>199.44</v>
      </c>
      <c r="Y102" s="6"/>
      <c r="Z102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2" s="6">
        <f>('TE BE'!$AB$14+'TE BF'!$AB$14+'TE CVA'!$AB$14)*(1-CUSTOS!$M$36)</f>
        <v>242.2884548142215</v>
      </c>
      <c r="AB102" s="6">
        <f t="shared" si="14"/>
        <v>0</v>
      </c>
      <c r="AC102" s="6">
        <f>(L102-M102)*(W102+X102)+($W$115+$X$115-$W$102-$X$102)*(L102)</f>
        <v>312.36408999999981</v>
      </c>
      <c r="AD102" s="6">
        <f t="shared" si="15"/>
        <v>0</v>
      </c>
      <c r="AE102" s="6">
        <f ca="1">(L102-M102)*(Z102+AA102)+($Z$115+$AA$115-$Z$102-$AA$102)*(L102)</f>
        <v>329.05018524658226</v>
      </c>
      <c r="AF102" s="4" t="s">
        <v>598</v>
      </c>
    </row>
    <row r="103" spans="1:32" ht="11.25" customHeight="1" x14ac:dyDescent="0.3">
      <c r="A103" s="4" t="s">
        <v>27</v>
      </c>
      <c r="B103" s="4" t="s">
        <v>22</v>
      </c>
      <c r="C103" s="4" t="s">
        <v>23</v>
      </c>
      <c r="D103" s="4" t="s">
        <v>24</v>
      </c>
      <c r="E103" s="4" t="s">
        <v>31</v>
      </c>
      <c r="F103" s="4" t="s">
        <v>25</v>
      </c>
      <c r="G103" s="4" t="s">
        <v>25</v>
      </c>
      <c r="H103" s="4" t="s">
        <v>25</v>
      </c>
      <c r="I103" s="5">
        <v>44470</v>
      </c>
      <c r="J103" s="6">
        <v>0</v>
      </c>
      <c r="K103" s="6">
        <v>0</v>
      </c>
      <c r="L103" s="6">
        <v>-2.4E-2</v>
      </c>
      <c r="M103" s="6">
        <v>-2.4E-2</v>
      </c>
      <c r="N103" s="6">
        <v>-2.4E-2</v>
      </c>
      <c r="O103" s="6">
        <v>-2.4E-2</v>
      </c>
      <c r="P103" s="6">
        <v>0</v>
      </c>
      <c r="Q103" s="4" t="s">
        <v>26</v>
      </c>
      <c r="R103" s="4">
        <v>0</v>
      </c>
      <c r="S103" s="4">
        <v>0</v>
      </c>
      <c r="T103" s="4">
        <v>43</v>
      </c>
      <c r="U103" s="4">
        <v>74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331.26</v>
      </c>
      <c r="X103" s="6">
        <f>IF(ISERROR(VLOOKUP($U$103,'TAR FIN'!$A$1:$O$85,15,0)),0,VLOOKUP($U$103,'TAR FIN'!$A$1:$O$85,15,0))</f>
        <v>199.44</v>
      </c>
      <c r="Y103" s="6"/>
      <c r="Z103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3" s="6">
        <f>('TE BE'!$AB$14+'TE BF'!$AB$14+'TE CVA'!$AB$14)*(1-CUSTOS!$M$36)</f>
        <v>242.2884548142215</v>
      </c>
      <c r="AB103" s="6">
        <f t="shared" si="14"/>
        <v>0</v>
      </c>
      <c r="AC103" s="6">
        <f>(L103-M103)*(W103+X103)+($W$115+$X$115-$W$103-$X$103)*(L103)</f>
        <v>-1.4152799999999994</v>
      </c>
      <c r="AD103" s="6">
        <f t="shared" si="15"/>
        <v>0</v>
      </c>
      <c r="AE103" s="6">
        <f ca="1">(L103-M103)*(Z103+AA103)+($Z$115+$AA$115-$Z$103-$AA$103)*(L103)</f>
        <v>-1.4908824704394892</v>
      </c>
      <c r="AF103" s="4" t="s">
        <v>598</v>
      </c>
    </row>
    <row r="104" spans="1:32" ht="11.25" customHeight="1" x14ac:dyDescent="0.3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31</v>
      </c>
      <c r="F104" s="4" t="s">
        <v>25</v>
      </c>
      <c r="G104" s="4" t="s">
        <v>25</v>
      </c>
      <c r="H104" s="4" t="s">
        <v>25</v>
      </c>
      <c r="I104" s="5">
        <v>44501</v>
      </c>
      <c r="J104" s="6">
        <v>0</v>
      </c>
      <c r="K104" s="6">
        <v>0</v>
      </c>
      <c r="L104" s="6">
        <v>5.4630000000000001</v>
      </c>
      <c r="M104" s="6">
        <v>5.4630000000000001</v>
      </c>
      <c r="N104" s="6">
        <v>5.4630000000000001</v>
      </c>
      <c r="O104" s="6">
        <v>5.4630000000000001</v>
      </c>
      <c r="P104" s="6">
        <v>70</v>
      </c>
      <c r="Q104" s="4" t="s">
        <v>26</v>
      </c>
      <c r="R104" s="4">
        <v>0</v>
      </c>
      <c r="S104" s="4">
        <v>0</v>
      </c>
      <c r="T104" s="4">
        <v>43</v>
      </c>
      <c r="U104" s="4">
        <v>74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331.26</v>
      </c>
      <c r="X104" s="6">
        <f>IF(ISERROR(VLOOKUP($U$104,'TAR FIN'!$A$1:$O$85,15,0)),0,VLOOKUP($U$104,'TAR FIN'!$A$1:$O$85,15,0))</f>
        <v>199.44</v>
      </c>
      <c r="Y104" s="6"/>
      <c r="Z104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4" s="6">
        <f>('TE BE'!$AB$14+'TE BF'!$AB$14+'TE CVA'!$AB$14)*(1-CUSTOS!$M$36)</f>
        <v>242.2884548142215</v>
      </c>
      <c r="AB104" s="6">
        <f t="shared" si="14"/>
        <v>0</v>
      </c>
      <c r="AC104" s="6">
        <f>(L104-M104)*(W104+X104)+($W$115+$X$115-$W$104-$X$104)*(L104)</f>
        <v>322.15310999999986</v>
      </c>
      <c r="AD104" s="6">
        <f t="shared" si="15"/>
        <v>0</v>
      </c>
      <c r="AE104" s="6">
        <f ca="1">(L104-M104)*(Z104+AA104)+($Z$115+$AA$115-$Z$104-$AA$104)*(L104)</f>
        <v>339.36212233378876</v>
      </c>
      <c r="AF104" s="4" t="s">
        <v>598</v>
      </c>
    </row>
    <row r="105" spans="1:32" ht="11.25" customHeight="1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31</v>
      </c>
      <c r="F105" s="4" t="s">
        <v>25</v>
      </c>
      <c r="G105" s="4" t="s">
        <v>25</v>
      </c>
      <c r="H105" s="4" t="s">
        <v>25</v>
      </c>
      <c r="I105" s="5">
        <v>44531</v>
      </c>
      <c r="J105" s="6">
        <v>0</v>
      </c>
      <c r="K105" s="6">
        <v>0</v>
      </c>
      <c r="L105" s="6">
        <v>6.6680000000000001</v>
      </c>
      <c r="M105" s="6">
        <v>6.6680000000000001</v>
      </c>
      <c r="N105" s="6">
        <v>6.6680000000000001</v>
      </c>
      <c r="O105" s="6">
        <v>6.6680000000000001</v>
      </c>
      <c r="P105" s="6">
        <v>73</v>
      </c>
      <c r="Q105" s="4" t="s">
        <v>26</v>
      </c>
      <c r="R105" s="4">
        <v>0</v>
      </c>
      <c r="S105" s="4">
        <v>0</v>
      </c>
      <c r="T105" s="4">
        <v>43</v>
      </c>
      <c r="U105" s="4">
        <v>74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331.26</v>
      </c>
      <c r="X105" s="6">
        <f>IF(ISERROR(VLOOKUP($U$105,'TAR FIN'!$A$1:$O$85,15,0)),0,VLOOKUP($U$105,'TAR FIN'!$A$1:$O$85,15,0))</f>
        <v>199.44</v>
      </c>
      <c r="Y105" s="6"/>
      <c r="Z105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5" s="6">
        <f>('TE BE'!$AB$14+'TE BF'!$AB$14+'TE CVA'!$AB$14)*(1-CUSTOS!$M$36)</f>
        <v>242.2884548142215</v>
      </c>
      <c r="AB105" s="6">
        <f t="shared" si="14"/>
        <v>0</v>
      </c>
      <c r="AC105" s="6">
        <f>(L105-M105)*(W105+X105)+($W$115+$X$115-$W$105-$X$105)*(L105)</f>
        <v>393.21195999999981</v>
      </c>
      <c r="AD105" s="6">
        <f t="shared" si="15"/>
        <v>0</v>
      </c>
      <c r="AE105" s="6">
        <f ca="1">(L105-M105)*(Z105+AA105)+($Z$115+$AA$115-$Z$105-$AA$105)*(L105)</f>
        <v>414.21684637043808</v>
      </c>
      <c r="AF105" s="4" t="s">
        <v>598</v>
      </c>
    </row>
    <row r="106" spans="1:32" ht="11.25" customHeight="1" x14ac:dyDescent="0.3">
      <c r="A106" s="4" t="s">
        <v>21</v>
      </c>
      <c r="B106" s="4" t="s">
        <v>22</v>
      </c>
      <c r="C106" s="4" t="s">
        <v>23</v>
      </c>
      <c r="D106" s="4" t="s">
        <v>24</v>
      </c>
      <c r="E106" s="4" t="s">
        <v>31</v>
      </c>
      <c r="F106" s="4" t="s">
        <v>25</v>
      </c>
      <c r="G106" s="4" t="s">
        <v>25</v>
      </c>
      <c r="H106" s="4" t="s">
        <v>25</v>
      </c>
      <c r="I106" s="5">
        <v>44562</v>
      </c>
      <c r="J106" s="6">
        <v>0</v>
      </c>
      <c r="K106" s="6">
        <v>0</v>
      </c>
      <c r="L106" s="6">
        <v>7.4980000000000002</v>
      </c>
      <c r="M106" s="6">
        <v>7.4980000000000002</v>
      </c>
      <c r="N106" s="6">
        <v>7.4980000000000002</v>
      </c>
      <c r="O106" s="6">
        <v>7.4980000000000002</v>
      </c>
      <c r="P106" s="6">
        <v>71</v>
      </c>
      <c r="Q106" s="4" t="s">
        <v>26</v>
      </c>
      <c r="R106" s="4">
        <v>0</v>
      </c>
      <c r="S106" s="4">
        <v>0</v>
      </c>
      <c r="T106" s="4">
        <v>43</v>
      </c>
      <c r="U106" s="4">
        <v>74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331.26</v>
      </c>
      <c r="X106" s="6">
        <f>IF(ISERROR(VLOOKUP($U$106,'TAR FIN'!$A$1:$O$85,15,0)),0,VLOOKUP($U$106,'TAR FIN'!$A$1:$O$85,15,0))</f>
        <v>199.44</v>
      </c>
      <c r="Y106" s="6"/>
      <c r="Z106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6" s="6">
        <f>('TE BE'!$AB$14+'TE BF'!$AB$14+'TE CVA'!$AB$14)*(1-CUSTOS!$M$36)</f>
        <v>242.2884548142215</v>
      </c>
      <c r="AB106" s="6">
        <f t="shared" si="14"/>
        <v>0</v>
      </c>
      <c r="AC106" s="6">
        <f>(L106-M106)*(W106+X106)+($W$115+$X$115-$W$106-$X$106)*(L106)</f>
        <v>442.15705999999977</v>
      </c>
      <c r="AD106" s="6">
        <f t="shared" si="15"/>
        <v>0</v>
      </c>
      <c r="AE106" s="6">
        <f ca="1">(L106-M106)*(Z106+AA106)+($Z$115+$AA$115-$Z$106-$AA$106)*(L106)</f>
        <v>465.77653180647042</v>
      </c>
      <c r="AF106" s="4" t="s">
        <v>598</v>
      </c>
    </row>
    <row r="107" spans="1:32" ht="11.25" customHeight="1" x14ac:dyDescent="0.3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31</v>
      </c>
      <c r="F107" s="4" t="s">
        <v>25</v>
      </c>
      <c r="G107" s="4" t="s">
        <v>25</v>
      </c>
      <c r="H107" s="4" t="s">
        <v>25</v>
      </c>
      <c r="I107" s="5">
        <v>44593</v>
      </c>
      <c r="J107" s="6">
        <v>0</v>
      </c>
      <c r="K107" s="6">
        <v>0</v>
      </c>
      <c r="L107" s="6">
        <v>7.2069999999999999</v>
      </c>
      <c r="M107" s="6">
        <v>7.2069999999999999</v>
      </c>
      <c r="N107" s="6">
        <v>7.2069999999999999</v>
      </c>
      <c r="O107" s="6">
        <v>7.2069999999999999</v>
      </c>
      <c r="P107" s="6">
        <v>74</v>
      </c>
      <c r="Q107" s="4" t="s">
        <v>26</v>
      </c>
      <c r="R107" s="4">
        <v>0</v>
      </c>
      <c r="S107" s="4">
        <v>0</v>
      </c>
      <c r="T107" s="4">
        <v>43</v>
      </c>
      <c r="U107" s="4">
        <v>74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331.26</v>
      </c>
      <c r="X107" s="6">
        <f>IF(ISERROR(VLOOKUP($U$107,'TAR FIN'!$A$1:$O$85,15,0)),0,VLOOKUP($U$107,'TAR FIN'!$A$1:$O$85,15,0))</f>
        <v>199.44</v>
      </c>
      <c r="Y107" s="6"/>
      <c r="Z107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7" s="6">
        <f>('TE BE'!$AB$14+'TE BF'!$AB$14+'TE CVA'!$AB$14)*(1-CUSTOS!$M$36)</f>
        <v>242.2884548142215</v>
      </c>
      <c r="AB107" s="6">
        <f t="shared" si="14"/>
        <v>0</v>
      </c>
      <c r="AC107" s="6">
        <f>(L107-M107)*(W107+X107)+($W$115+$X$115-$W$107-$X$107)*(L107)</f>
        <v>424.99678999999981</v>
      </c>
      <c r="AD107" s="6">
        <f t="shared" si="15"/>
        <v>0</v>
      </c>
      <c r="AE107" s="6">
        <f ca="1">(L107-M107)*(Z107+AA107)+($Z$115+$AA$115-$Z$107-$AA$107)*(L107)</f>
        <v>447.69958185239159</v>
      </c>
      <c r="AF107" s="4" t="s">
        <v>598</v>
      </c>
    </row>
    <row r="108" spans="1:32" ht="11.25" customHeight="1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31</v>
      </c>
      <c r="F108" s="4" t="s">
        <v>25</v>
      </c>
      <c r="G108" s="4" t="s">
        <v>25</v>
      </c>
      <c r="H108" s="4" t="s">
        <v>25</v>
      </c>
      <c r="I108" s="5">
        <v>44621</v>
      </c>
      <c r="J108" s="6">
        <v>0</v>
      </c>
      <c r="K108" s="6">
        <v>0</v>
      </c>
      <c r="L108" s="6">
        <v>7.8490000000000002</v>
      </c>
      <c r="M108" s="6">
        <v>7.8490000000000002</v>
      </c>
      <c r="N108" s="6">
        <v>7.8490000000000002</v>
      </c>
      <c r="O108" s="6">
        <v>7.8490000000000002</v>
      </c>
      <c r="P108" s="6">
        <v>72</v>
      </c>
      <c r="Q108" s="4" t="s">
        <v>26</v>
      </c>
      <c r="R108" s="4">
        <v>0</v>
      </c>
      <c r="S108" s="4">
        <v>0</v>
      </c>
      <c r="T108" s="4">
        <v>43</v>
      </c>
      <c r="U108" s="4">
        <v>74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331.26</v>
      </c>
      <c r="X108" s="6">
        <f>IF(ISERROR(VLOOKUP($U$108,'TAR FIN'!$A$1:$O$85,15,0)),0,VLOOKUP($U$108,'TAR FIN'!$A$1:$O$85,15,0))</f>
        <v>199.44</v>
      </c>
      <c r="Y108" s="6"/>
      <c r="Z108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8" s="6">
        <f>('TE BE'!$AB$14+'TE BF'!$AB$14+'TE CVA'!$AB$14)*(1-CUSTOS!$M$36)</f>
        <v>242.2884548142215</v>
      </c>
      <c r="AB108" s="6">
        <f t="shared" si="14"/>
        <v>0</v>
      </c>
      <c r="AC108" s="6">
        <f>(L108-M108)*(W108+X108)+($W$115+$X$115-$W$108-$X$108)*(L108)</f>
        <v>462.85552999999976</v>
      </c>
      <c r="AD108" s="6">
        <f t="shared" si="15"/>
        <v>0</v>
      </c>
      <c r="AE108" s="6">
        <f ca="1">(L108-M108)*(Z108+AA108)+($Z$115+$AA$115-$Z$108-$AA$108)*(L108)</f>
        <v>487.58068793664796</v>
      </c>
      <c r="AF108" s="4" t="s">
        <v>598</v>
      </c>
    </row>
    <row r="109" spans="1:32" ht="11.25" customHeight="1" x14ac:dyDescent="0.3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31</v>
      </c>
      <c r="F109" s="4" t="s">
        <v>25</v>
      </c>
      <c r="G109" s="4" t="s">
        <v>25</v>
      </c>
      <c r="H109" s="4" t="s">
        <v>25</v>
      </c>
      <c r="I109" s="5">
        <v>44652</v>
      </c>
      <c r="J109" s="6">
        <v>0</v>
      </c>
      <c r="K109" s="6">
        <v>0</v>
      </c>
      <c r="L109" s="6">
        <v>7.9470000000000001</v>
      </c>
      <c r="M109" s="6">
        <v>7.9470000000000001</v>
      </c>
      <c r="N109" s="6">
        <v>7.9470000000000001</v>
      </c>
      <c r="O109" s="6">
        <v>7.9470000000000001</v>
      </c>
      <c r="P109" s="6">
        <v>79</v>
      </c>
      <c r="Q109" s="4" t="s">
        <v>26</v>
      </c>
      <c r="R109" s="4">
        <v>0</v>
      </c>
      <c r="S109" s="4">
        <v>0</v>
      </c>
      <c r="T109" s="4">
        <v>43</v>
      </c>
      <c r="U109" s="4">
        <v>74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331.26</v>
      </c>
      <c r="X109" s="6">
        <f>IF(ISERROR(VLOOKUP($U$109,'TAR FIN'!$A$1:$O$85,15,0)),0,VLOOKUP($U$109,'TAR FIN'!$A$1:$O$85,15,0))</f>
        <v>199.44</v>
      </c>
      <c r="Y109" s="6"/>
      <c r="Z109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09" s="6">
        <f>('TE BE'!$AB$14+'TE BF'!$AB$14+'TE CVA'!$AB$14)*(1-CUSTOS!$M$36)</f>
        <v>242.2884548142215</v>
      </c>
      <c r="AB109" s="6">
        <f t="shared" si="14"/>
        <v>0</v>
      </c>
      <c r="AC109" s="6">
        <f>(L109-M109)*(W109+X109)+($W$115+$X$115-$W$109-$X$109)*(L109)</f>
        <v>468.63458999999978</v>
      </c>
      <c r="AD109" s="6">
        <f t="shared" si="15"/>
        <v>0</v>
      </c>
      <c r="AE109" s="6">
        <f ca="1">(L109-M109)*(Z109+AA109)+($Z$115+$AA$115-$Z$109-$AA$109)*(L109)</f>
        <v>493.66845802427588</v>
      </c>
      <c r="AF109" s="4" t="s">
        <v>598</v>
      </c>
    </row>
    <row r="110" spans="1:32" ht="11.25" customHeight="1" x14ac:dyDescent="0.3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31</v>
      </c>
      <c r="F110" s="4" t="s">
        <v>25</v>
      </c>
      <c r="G110" s="4" t="s">
        <v>25</v>
      </c>
      <c r="H110" s="4" t="s">
        <v>25</v>
      </c>
      <c r="I110" s="5">
        <v>44682</v>
      </c>
      <c r="J110" s="6">
        <v>0</v>
      </c>
      <c r="K110" s="6">
        <v>0</v>
      </c>
      <c r="L110" s="6">
        <v>6.3929999999999998</v>
      </c>
      <c r="M110" s="6">
        <v>6.3929999999999998</v>
      </c>
      <c r="N110" s="6">
        <v>6.3929999999999998</v>
      </c>
      <c r="O110" s="6">
        <v>6.3929999999999998</v>
      </c>
      <c r="P110" s="6">
        <v>72</v>
      </c>
      <c r="Q110" s="4" t="s">
        <v>26</v>
      </c>
      <c r="R110" s="4">
        <v>0</v>
      </c>
      <c r="S110" s="4">
        <v>0</v>
      </c>
      <c r="T110" s="4">
        <v>43</v>
      </c>
      <c r="U110" s="4">
        <v>74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331.26</v>
      </c>
      <c r="X110" s="6">
        <f>IF(ISERROR(VLOOKUP($U$110,'TAR FIN'!$A$1:$O$85,15,0)),0,VLOOKUP($U$110,'TAR FIN'!$A$1:$O$85,15,0))</f>
        <v>199.44</v>
      </c>
      <c r="Y110" s="6"/>
      <c r="Z110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10" s="6">
        <f>('TE BE'!$AB$14+'TE BF'!$AB$14+'TE CVA'!$AB$14)*(1-CUSTOS!$M$36)</f>
        <v>242.2884548142215</v>
      </c>
      <c r="AB110" s="6">
        <f t="shared" si="14"/>
        <v>0</v>
      </c>
      <c r="AC110" s="6">
        <f>(L110-M110)*(W110+X110)+($W$115+$X$115-$W$110-$X$110)*(L110)</f>
        <v>376.99520999999982</v>
      </c>
      <c r="AD110" s="6">
        <f t="shared" si="15"/>
        <v>0</v>
      </c>
      <c r="AE110" s="6">
        <f ca="1">(L110-M110)*(Z110+AA110)+($Z$115+$AA$115-$Z$110-$AA$110)*(L110)</f>
        <v>397.13381806331893</v>
      </c>
      <c r="AF110" s="4" t="s">
        <v>598</v>
      </c>
    </row>
    <row r="111" spans="1:32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31</v>
      </c>
      <c r="F111" s="4" t="s">
        <v>25</v>
      </c>
      <c r="G111" s="4" t="s">
        <v>25</v>
      </c>
      <c r="H111" s="4" t="s">
        <v>25</v>
      </c>
      <c r="I111" s="5">
        <v>44713</v>
      </c>
      <c r="J111" s="6">
        <v>0</v>
      </c>
      <c r="K111" s="6">
        <v>0</v>
      </c>
      <c r="L111" s="6">
        <v>7.9829999999999997</v>
      </c>
      <c r="M111" s="6">
        <v>7.9829999999999997</v>
      </c>
      <c r="N111" s="6">
        <v>7.9829999999999997</v>
      </c>
      <c r="O111" s="6">
        <v>7.9829999999999997</v>
      </c>
      <c r="P111" s="6">
        <v>107</v>
      </c>
      <c r="Q111" s="4" t="s">
        <v>26</v>
      </c>
      <c r="R111" s="4">
        <v>0</v>
      </c>
      <c r="S111" s="4">
        <v>0</v>
      </c>
      <c r="T111" s="4">
        <v>43</v>
      </c>
      <c r="U111" s="4">
        <v>74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331.26</v>
      </c>
      <c r="X111" s="6">
        <f>IF(ISERROR(VLOOKUP($U$111,'TAR FIN'!$A$1:$O$85,15,0)),0,VLOOKUP($U$111,'TAR FIN'!$A$1:$O$85,15,0))</f>
        <v>199.44</v>
      </c>
      <c r="Y111" s="6"/>
      <c r="Z111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11" s="6">
        <f>('TE BE'!$AB$14+'TE BF'!$AB$14+'TE CVA'!$AB$14)*(1-CUSTOS!$M$36)</f>
        <v>242.2884548142215</v>
      </c>
      <c r="AB111" s="6">
        <f t="shared" si="14"/>
        <v>0</v>
      </c>
      <c r="AC111" s="6">
        <f>(L111-M111)*(W111+X111)+($W$115+$X$115-$W$111-$X$111)*(L111)</f>
        <v>470.75750999999974</v>
      </c>
      <c r="AD111" s="6">
        <f t="shared" si="15"/>
        <v>0</v>
      </c>
      <c r="AE111" s="6">
        <f ca="1">(L111-M111)*(Z111+AA111)+($Z$115+$AA$115-$Z$111-$AA$111)*(L111)</f>
        <v>495.90478172993511</v>
      </c>
      <c r="AF111" s="4" t="s">
        <v>598</v>
      </c>
    </row>
    <row r="112" spans="1:32" ht="11.25" customHeight="1" x14ac:dyDescent="0.3">
      <c r="A112" s="4" t="s">
        <v>27</v>
      </c>
      <c r="B112" s="4" t="s">
        <v>22</v>
      </c>
      <c r="C112" s="4" t="s">
        <v>23</v>
      </c>
      <c r="D112" s="4" t="s">
        <v>24</v>
      </c>
      <c r="E112" s="4" t="s">
        <v>31</v>
      </c>
      <c r="F112" s="4" t="s">
        <v>25</v>
      </c>
      <c r="G112" s="4" t="s">
        <v>25</v>
      </c>
      <c r="H112" s="4" t="s">
        <v>25</v>
      </c>
      <c r="I112" s="5">
        <v>44713</v>
      </c>
      <c r="J112" s="6">
        <v>0</v>
      </c>
      <c r="K112" s="6">
        <v>0</v>
      </c>
      <c r="L112" s="6">
        <v>0.24</v>
      </c>
      <c r="M112" s="6">
        <v>0.24</v>
      </c>
      <c r="N112" s="6">
        <v>0.24</v>
      </c>
      <c r="O112" s="6">
        <v>0.24</v>
      </c>
      <c r="P112" s="6">
        <v>0</v>
      </c>
      <c r="Q112" s="4" t="s">
        <v>26</v>
      </c>
      <c r="R112" s="4">
        <v>0</v>
      </c>
      <c r="S112" s="4">
        <v>0</v>
      </c>
      <c r="T112" s="4">
        <v>43</v>
      </c>
      <c r="U112" s="4">
        <v>74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331.26</v>
      </c>
      <c r="X112" s="6">
        <f>IF(ISERROR(VLOOKUP($U$112,'TAR FIN'!$A$1:$O$85,15,0)),0,VLOOKUP($U$112,'TAR FIN'!$A$1:$O$85,15,0))</f>
        <v>199.44</v>
      </c>
      <c r="Y112" s="6"/>
      <c r="Z112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12" s="6">
        <f>('TE BE'!$AB$14+'TE BF'!$AB$14+'TE CVA'!$AB$14)*(1-CUSTOS!$M$36)</f>
        <v>242.2884548142215</v>
      </c>
      <c r="AB112" s="6">
        <f t="shared" si="14"/>
        <v>0</v>
      </c>
      <c r="AC112" s="6">
        <f>(L112-M112)*(W112+X112)+($W$115+$X$115-$W$112-$X$112)*(L112)</f>
        <v>14.152799999999992</v>
      </c>
      <c r="AD112" s="6">
        <f t="shared" si="15"/>
        <v>0</v>
      </c>
      <c r="AE112" s="6">
        <f ca="1">(L112-M112)*(Z112+AA112)+($Z$115+$AA$115-$Z$112-$AA$112)*(L112)</f>
        <v>14.908824704394892</v>
      </c>
      <c r="AF112" s="4" t="s">
        <v>598</v>
      </c>
    </row>
    <row r="113" spans="1:32" ht="11.25" customHeight="1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31</v>
      </c>
      <c r="F113" s="4" t="s">
        <v>25</v>
      </c>
      <c r="G113" s="4" t="s">
        <v>25</v>
      </c>
      <c r="H113" s="4" t="s">
        <v>25</v>
      </c>
      <c r="I113" s="5">
        <v>44743</v>
      </c>
      <c r="J113" s="6">
        <v>0</v>
      </c>
      <c r="K113" s="6">
        <v>0</v>
      </c>
      <c r="L113" s="6">
        <v>7.3650000000000002</v>
      </c>
      <c r="M113" s="6">
        <v>7.3650000000000002</v>
      </c>
      <c r="N113" s="6">
        <v>7.3650000000000002</v>
      </c>
      <c r="O113" s="6">
        <v>7.3650000000000002</v>
      </c>
      <c r="P113" s="6">
        <v>111</v>
      </c>
      <c r="Q113" s="4" t="s">
        <v>26</v>
      </c>
      <c r="R113" s="4">
        <v>0</v>
      </c>
      <c r="S113" s="4">
        <v>0</v>
      </c>
      <c r="T113" s="4">
        <v>43</v>
      </c>
      <c r="U113" s="4">
        <v>74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331.26</v>
      </c>
      <c r="X113" s="6">
        <f>IF(ISERROR(VLOOKUP($U$113,'TAR FIN'!$A$1:$O$85,15,0)),0,VLOOKUP($U$113,'TAR FIN'!$A$1:$O$85,15,0))</f>
        <v>199.44</v>
      </c>
      <c r="Y113" s="6"/>
      <c r="Z113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13" s="6">
        <f>('TE BE'!$AB$14+'TE BF'!$AB$14+'TE CVA'!$AB$14)*(1-CUSTOS!$M$36)</f>
        <v>242.2884548142215</v>
      </c>
      <c r="AB113" s="6">
        <f t="shared" si="14"/>
        <v>0</v>
      </c>
      <c r="AC113" s="6">
        <f>(L113-M113)*(W113+X113)+($W$115+$X$115-$W$113-$X$113)*(L113)</f>
        <v>434.31404999999978</v>
      </c>
      <c r="AD113" s="6">
        <f t="shared" si="15"/>
        <v>0</v>
      </c>
      <c r="AE113" s="6">
        <f ca="1">(L113-M113)*(Z113+AA113)+($Z$115+$AA$115-$Z$113-$AA$113)*(L113)</f>
        <v>457.51455811611828</v>
      </c>
      <c r="AF113" s="4" t="s">
        <v>598</v>
      </c>
    </row>
    <row r="114" spans="1:32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31</v>
      </c>
      <c r="F114" s="4" t="s">
        <v>25</v>
      </c>
      <c r="G114" s="4" t="s">
        <v>25</v>
      </c>
      <c r="H114" s="4" t="s">
        <v>25</v>
      </c>
      <c r="I114" s="5">
        <v>44774</v>
      </c>
      <c r="J114" s="6">
        <v>0</v>
      </c>
      <c r="K114" s="6">
        <v>0</v>
      </c>
      <c r="L114" s="6">
        <v>7.2119999999999997</v>
      </c>
      <c r="M114" s="6">
        <v>7.2119999999999997</v>
      </c>
      <c r="N114" s="6">
        <v>7.2119999999999997</v>
      </c>
      <c r="O114" s="6">
        <v>7.2119999999999997</v>
      </c>
      <c r="P114" s="6">
        <v>88</v>
      </c>
      <c r="Q114" s="4" t="s">
        <v>26</v>
      </c>
      <c r="R114" s="4">
        <v>0</v>
      </c>
      <c r="S114" s="4">
        <v>0</v>
      </c>
      <c r="T114" s="4">
        <v>43</v>
      </c>
      <c r="U114" s="4">
        <v>74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331.26</v>
      </c>
      <c r="X114" s="6">
        <f>IF(ISERROR(VLOOKUP($U$114,'TAR FIN'!$A$1:$O$85,15,0)),0,VLOOKUP($U$114,'TAR FIN'!$A$1:$O$85,15,0))</f>
        <v>199.44</v>
      </c>
      <c r="Y114" s="6"/>
      <c r="Z114" s="6">
        <f ca="1">('TUSD BE'!$AM$23+'TUSD BF'!$AM$23+'TUSD CVA'!$AM$23-('TUSD BE'!$P$23+'TUSD BF'!$P$23+'TUSD CVA'!$P$23)-('TUSD BE'!$Q$23+'TUSD BF'!$Q$23+'TUSD CVA'!$Q$23)-('TUSD BE'!$R$23+'TUSD BF'!$R$23+'TUSD CVA'!$R$23))*(1-CUSTOS!$M$36)</f>
        <v>316.79247160058674</v>
      </c>
      <c r="AA114" s="6">
        <f>('TE BE'!$AB$14+'TE BF'!$AB$14+'TE CVA'!$AB$14)*(1-CUSTOS!$M$36)</f>
        <v>242.2884548142215</v>
      </c>
      <c r="AB114" s="6">
        <f t="shared" si="14"/>
        <v>0</v>
      </c>
      <c r="AC114" s="6">
        <f>(L114-M114)*(W114+X114)+($W$115+$X$115-$W$114-$X$114)*(L114)</f>
        <v>425.29163999999975</v>
      </c>
      <c r="AD114" s="6">
        <f t="shared" si="15"/>
        <v>0</v>
      </c>
      <c r="AE114" s="6">
        <f ca="1">(L114-M114)*(Z114+AA114)+($Z$115+$AA$115-$Z$114-$AA$114)*(L114)</f>
        <v>448.01018236706648</v>
      </c>
      <c r="AF114" s="4" t="s">
        <v>598</v>
      </c>
    </row>
    <row r="115" spans="1:32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32</v>
      </c>
      <c r="F115" s="4" t="s">
        <v>25</v>
      </c>
      <c r="G115" s="4" t="s">
        <v>25</v>
      </c>
      <c r="H115" s="4" t="s">
        <v>25</v>
      </c>
      <c r="I115" s="5">
        <v>44440</v>
      </c>
      <c r="J115" s="6">
        <v>0</v>
      </c>
      <c r="K115" s="6">
        <v>0</v>
      </c>
      <c r="L115" s="6">
        <v>0.19500000000000001</v>
      </c>
      <c r="M115" s="6">
        <v>0.19500000000000001</v>
      </c>
      <c r="N115" s="6">
        <v>0.19500000000000001</v>
      </c>
      <c r="O115" s="6">
        <v>0.19500000000000001</v>
      </c>
      <c r="P115" s="6">
        <v>3</v>
      </c>
      <c r="Q115" s="4" t="s">
        <v>26</v>
      </c>
      <c r="R115" s="4">
        <v>0</v>
      </c>
      <c r="S115" s="4">
        <v>0</v>
      </c>
      <c r="T115" s="4">
        <v>48</v>
      </c>
      <c r="U115" s="4">
        <v>71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368.07</v>
      </c>
      <c r="X115" s="6">
        <f>IF(ISERROR(VLOOKUP($U$115,'TAR FIN'!$A$1:$O$85,15,0)),0,VLOOKUP($U$115,'TAR FIN'!$A$1:$O$85,15,0))</f>
        <v>221.6</v>
      </c>
      <c r="Y115" s="6"/>
      <c r="Z115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15" s="6">
        <f>('TE BE'!$AB$15+'TE BF'!$AB$15+'TE CVA'!$AB$15)*(1-CUSTOS!$M$37)</f>
        <v>269.20939423802389</v>
      </c>
      <c r="AB115" s="6">
        <f t="shared" si="14"/>
        <v>0</v>
      </c>
      <c r="AC115" s="6">
        <f>(L115-M115)*(W115+X115)+($W$115+$X$115-$W$115-$X$115)*(L115)</f>
        <v>-5.5422333389287816E-15</v>
      </c>
      <c r="AD115" s="6">
        <f t="shared" si="15"/>
        <v>0</v>
      </c>
      <c r="AE115" s="6">
        <f ca="1">(L115-M115)*(Z115+AA115)+($Z$115+$AA$115-$Z$115-$AA$115)*(L115)</f>
        <v>1.1084466677857563E-14</v>
      </c>
      <c r="AF115" s="4" t="s">
        <v>598</v>
      </c>
    </row>
    <row r="116" spans="1:32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32</v>
      </c>
      <c r="F116" s="4" t="s">
        <v>25</v>
      </c>
      <c r="G116" s="4" t="s">
        <v>25</v>
      </c>
      <c r="H116" s="4" t="s">
        <v>25</v>
      </c>
      <c r="I116" s="5">
        <v>44470</v>
      </c>
      <c r="J116" s="6">
        <v>0</v>
      </c>
      <c r="K116" s="6">
        <v>0</v>
      </c>
      <c r="L116" s="6">
        <v>1.1439999999999999</v>
      </c>
      <c r="M116" s="6">
        <v>1.1439999999999999</v>
      </c>
      <c r="N116" s="6">
        <v>1.1439999999999999</v>
      </c>
      <c r="O116" s="6">
        <v>1.1439999999999999</v>
      </c>
      <c r="P116" s="6">
        <v>14</v>
      </c>
      <c r="Q116" s="4" t="s">
        <v>26</v>
      </c>
      <c r="R116" s="4">
        <v>0</v>
      </c>
      <c r="S116" s="4">
        <v>0</v>
      </c>
      <c r="T116" s="4">
        <v>48</v>
      </c>
      <c r="U116" s="4">
        <v>71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368.07</v>
      </c>
      <c r="X116" s="6">
        <f>IF(ISERROR(VLOOKUP($U$116,'TAR FIN'!$A$1:$O$85,15,0)),0,VLOOKUP($U$116,'TAR FIN'!$A$1:$O$85,15,0))</f>
        <v>221.6</v>
      </c>
      <c r="Y116" s="6"/>
      <c r="Z116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16" s="6">
        <f>('TE BE'!$AB$15+'TE BF'!$AB$15+'TE CVA'!$AB$15)*(1-CUSTOS!$M$37)</f>
        <v>269.20939423802389</v>
      </c>
      <c r="AB116" s="6">
        <f t="shared" si="14"/>
        <v>0</v>
      </c>
      <c r="AC116" s="6">
        <f>(L116-M116)*(W116+X116)+($W$115+$X$115-$W$116-$X$116)*(L116)</f>
        <v>-3.2514435588382182E-14</v>
      </c>
      <c r="AD116" s="6">
        <f t="shared" si="15"/>
        <v>0</v>
      </c>
      <c r="AE116" s="6">
        <f ca="1">(L116-M116)*(Z116+AA116)+($Z$115+$AA$115-$Z$116-$AA$116)*(L116)</f>
        <v>6.5028871176764364E-14</v>
      </c>
      <c r="AF116" s="4" t="s">
        <v>598</v>
      </c>
    </row>
    <row r="117" spans="1:32" ht="11.25" customHeight="1" x14ac:dyDescent="0.3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32</v>
      </c>
      <c r="F117" s="4" t="s">
        <v>25</v>
      </c>
      <c r="G117" s="4" t="s">
        <v>25</v>
      </c>
      <c r="H117" s="4" t="s">
        <v>25</v>
      </c>
      <c r="I117" s="5">
        <v>44470</v>
      </c>
      <c r="J117" s="6">
        <v>0</v>
      </c>
      <c r="K117" s="6">
        <v>0</v>
      </c>
      <c r="L117" s="6">
        <v>-0.23</v>
      </c>
      <c r="M117" s="6">
        <v>-0.23</v>
      </c>
      <c r="N117" s="6">
        <v>-0.23</v>
      </c>
      <c r="O117" s="6">
        <v>-0.23</v>
      </c>
      <c r="P117" s="6">
        <v>0</v>
      </c>
      <c r="Q117" s="4" t="s">
        <v>26</v>
      </c>
      <c r="R117" s="4">
        <v>0</v>
      </c>
      <c r="S117" s="4">
        <v>0</v>
      </c>
      <c r="T117" s="4">
        <v>48</v>
      </c>
      <c r="U117" s="4">
        <v>71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368.07</v>
      </c>
      <c r="X117" s="6">
        <f>IF(ISERROR(VLOOKUP($U$117,'TAR FIN'!$A$1:$O$85,15,0)),0,VLOOKUP($U$117,'TAR FIN'!$A$1:$O$85,15,0))</f>
        <v>221.6</v>
      </c>
      <c r="Y117" s="6"/>
      <c r="Z117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17" s="6">
        <f>('TE BE'!$AB$15+'TE BF'!$AB$15+'TE CVA'!$AB$15)*(1-CUSTOS!$M$37)</f>
        <v>269.20939423802389</v>
      </c>
      <c r="AB117" s="6">
        <f t="shared" si="14"/>
        <v>0</v>
      </c>
      <c r="AC117" s="6">
        <f>(L117-M117)*(W117+X117)+($W$115+$X$115-$W$117-$X$117)*(L117)</f>
        <v>6.536993168992922E-15</v>
      </c>
      <c r="AD117" s="6">
        <f t="shared" si="15"/>
        <v>0</v>
      </c>
      <c r="AE117" s="6">
        <f ca="1">(L117-M117)*(Z117+AA117)+($Z$115+$AA$115-$Z$117-$AA$117)*(L117)</f>
        <v>-1.3073986337985844E-14</v>
      </c>
      <c r="AF117" s="4" t="s">
        <v>598</v>
      </c>
    </row>
    <row r="118" spans="1:32" ht="11.25" customHeight="1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32</v>
      </c>
      <c r="F118" s="4" t="s">
        <v>25</v>
      </c>
      <c r="G118" s="4" t="s">
        <v>25</v>
      </c>
      <c r="H118" s="4" t="s">
        <v>25</v>
      </c>
      <c r="I118" s="5">
        <v>44501</v>
      </c>
      <c r="J118" s="6">
        <v>0</v>
      </c>
      <c r="K118" s="6">
        <v>0</v>
      </c>
      <c r="L118" s="6">
        <v>1.03</v>
      </c>
      <c r="M118" s="6">
        <v>1.03</v>
      </c>
      <c r="N118" s="6">
        <v>1.03</v>
      </c>
      <c r="O118" s="6">
        <v>1.03</v>
      </c>
      <c r="P118" s="6">
        <v>18</v>
      </c>
      <c r="Q118" s="4" t="s">
        <v>26</v>
      </c>
      <c r="R118" s="4">
        <v>0</v>
      </c>
      <c r="S118" s="4">
        <v>0</v>
      </c>
      <c r="T118" s="4">
        <v>48</v>
      </c>
      <c r="U118" s="4">
        <v>71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368.07</v>
      </c>
      <c r="X118" s="6">
        <f>IF(ISERROR(VLOOKUP($U$118,'TAR FIN'!$A$1:$O$85,15,0)),0,VLOOKUP($U$118,'TAR FIN'!$A$1:$O$85,15,0))</f>
        <v>221.6</v>
      </c>
      <c r="Y118" s="6"/>
      <c r="Z118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18" s="6">
        <f>('TE BE'!$AB$15+'TE BF'!$AB$15+'TE CVA'!$AB$15)*(1-CUSTOS!$M$37)</f>
        <v>269.20939423802389</v>
      </c>
      <c r="AB118" s="6">
        <f t="shared" si="14"/>
        <v>0</v>
      </c>
      <c r="AC118" s="6">
        <f>(L118-M118)*(W118+X118)+($W$115+$X$115-$W$118-$X$118)*(L118)</f>
        <v>-2.9274360713316128E-14</v>
      </c>
      <c r="AD118" s="6">
        <f t="shared" si="15"/>
        <v>0</v>
      </c>
      <c r="AE118" s="6">
        <f ca="1">(L118-M118)*(Z118+AA118)+($Z$115+$AA$115-$Z$118-$AA$118)*(L118)</f>
        <v>5.8548721426632257E-14</v>
      </c>
      <c r="AF118" s="4" t="s">
        <v>598</v>
      </c>
    </row>
    <row r="119" spans="1:32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32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1.5940000000000001</v>
      </c>
      <c r="M119" s="6">
        <v>1.5940000000000001</v>
      </c>
      <c r="N119" s="6">
        <v>1.5940000000000001</v>
      </c>
      <c r="O119" s="6">
        <v>1.5940000000000001</v>
      </c>
      <c r="P119" s="6">
        <v>22</v>
      </c>
      <c r="Q119" s="4" t="s">
        <v>26</v>
      </c>
      <c r="R119" s="4">
        <v>0</v>
      </c>
      <c r="S119" s="4">
        <v>0</v>
      </c>
      <c r="T119" s="4">
        <v>48</v>
      </c>
      <c r="U119" s="4">
        <v>71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368.07</v>
      </c>
      <c r="X119" s="6">
        <f>IF(ISERROR(VLOOKUP($U$119,'TAR FIN'!$A$1:$O$85,15,0)),0,VLOOKUP($U$119,'TAR FIN'!$A$1:$O$85,15,0))</f>
        <v>221.6</v>
      </c>
      <c r="Y119" s="6"/>
      <c r="Z119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19" s="6">
        <f>('TE BE'!$AB$15+'TE BF'!$AB$15+'TE CVA'!$AB$15)*(1-CUSTOS!$M$37)</f>
        <v>269.20939423802389</v>
      </c>
      <c r="AB119" s="6">
        <f t="shared" si="14"/>
        <v>0</v>
      </c>
      <c r="AC119" s="6">
        <f>(L119-M119)*(W119+X119)+($W$115+$X$115-$W$119-$X$119)*(L119)</f>
        <v>-4.530420483206399E-14</v>
      </c>
      <c r="AD119" s="6">
        <f t="shared" si="15"/>
        <v>0</v>
      </c>
      <c r="AE119" s="6">
        <f ca="1">(L119-M119)*(Z119+AA119)+($Z$115+$AA$115-$Z$119-$AA$119)*(L119)</f>
        <v>9.060840966412798E-14</v>
      </c>
      <c r="AF119" s="4" t="s">
        <v>598</v>
      </c>
    </row>
    <row r="120" spans="1:32" ht="11.25" customHeight="1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32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2.44</v>
      </c>
      <c r="M120" s="6">
        <v>2.44</v>
      </c>
      <c r="N120" s="6">
        <v>2.44</v>
      </c>
      <c r="O120" s="6">
        <v>2.44</v>
      </c>
      <c r="P120" s="6">
        <v>29</v>
      </c>
      <c r="Q120" s="4" t="s">
        <v>26</v>
      </c>
      <c r="R120" s="4">
        <v>0</v>
      </c>
      <c r="S120" s="4">
        <v>0</v>
      </c>
      <c r="T120" s="4">
        <v>48</v>
      </c>
      <c r="U120" s="4">
        <v>71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368.07</v>
      </c>
      <c r="X120" s="6">
        <f>IF(ISERROR(VLOOKUP($U$120,'TAR FIN'!$A$1:$O$85,15,0)),0,VLOOKUP($U$120,'TAR FIN'!$A$1:$O$85,15,0))</f>
        <v>221.6</v>
      </c>
      <c r="Y120" s="6"/>
      <c r="Z120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0" s="6">
        <f>('TE BE'!$AB$15+'TE BF'!$AB$15+'TE CVA'!$AB$15)*(1-CUSTOS!$M$37)</f>
        <v>269.20939423802389</v>
      </c>
      <c r="AB120" s="6">
        <f t="shared" si="14"/>
        <v>0</v>
      </c>
      <c r="AC120" s="6">
        <f>(L120-M120)*(W120+X120)+($W$115+$X$115-$W$120-$X$120)*(L120)</f>
        <v>-6.9348971010185777E-14</v>
      </c>
      <c r="AD120" s="6">
        <f t="shared" si="15"/>
        <v>0</v>
      </c>
      <c r="AE120" s="6">
        <f ca="1">(L120-M120)*(Z120+AA120)+($Z$115+$AA$115-$Z$120-$AA$120)*(L120)</f>
        <v>1.3869794202037155E-13</v>
      </c>
      <c r="AF120" s="4" t="s">
        <v>598</v>
      </c>
    </row>
    <row r="121" spans="1:32" ht="11.25" customHeight="1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32</v>
      </c>
      <c r="F121" s="4" t="s">
        <v>25</v>
      </c>
      <c r="G121" s="4" t="s">
        <v>25</v>
      </c>
      <c r="H121" s="4" t="s">
        <v>25</v>
      </c>
      <c r="I121" s="5">
        <v>44593</v>
      </c>
      <c r="J121" s="6">
        <v>0</v>
      </c>
      <c r="K121" s="6">
        <v>0</v>
      </c>
      <c r="L121" s="6">
        <v>2.125</v>
      </c>
      <c r="M121" s="6">
        <v>2.125</v>
      </c>
      <c r="N121" s="6">
        <v>2.125</v>
      </c>
      <c r="O121" s="6">
        <v>2.125</v>
      </c>
      <c r="P121" s="6">
        <v>26</v>
      </c>
      <c r="Q121" s="4" t="s">
        <v>26</v>
      </c>
      <c r="R121" s="4">
        <v>0</v>
      </c>
      <c r="S121" s="4">
        <v>0</v>
      </c>
      <c r="T121" s="4">
        <v>48</v>
      </c>
      <c r="U121" s="4">
        <v>71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368.07</v>
      </c>
      <c r="X121" s="6">
        <f>IF(ISERROR(VLOOKUP($U$121,'TAR FIN'!$A$1:$O$85,15,0)),0,VLOOKUP($U$121,'TAR FIN'!$A$1:$O$85,15,0))</f>
        <v>221.6</v>
      </c>
      <c r="Y121" s="6"/>
      <c r="Z121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1" s="6">
        <f>('TE BE'!$AB$15+'TE BF'!$AB$15+'TE CVA'!$AB$15)*(1-CUSTOS!$M$37)</f>
        <v>269.20939423802389</v>
      </c>
      <c r="AB121" s="6">
        <f t="shared" si="14"/>
        <v>0</v>
      </c>
      <c r="AC121" s="6">
        <f>(L121-M121)*(W121+X121)+($W$115+$X$115-$W$121-$X$121)*(L121)</f>
        <v>-6.0396132539608516E-14</v>
      </c>
      <c r="AD121" s="6">
        <f t="shared" si="15"/>
        <v>0</v>
      </c>
      <c r="AE121" s="6">
        <f ca="1">(L121-M121)*(Z121+AA121)+($Z$115+$AA$115-$Z$121-$AA$121)*(L121)</f>
        <v>1.2079226507921703E-13</v>
      </c>
      <c r="AF121" s="4" t="s">
        <v>598</v>
      </c>
    </row>
    <row r="122" spans="1:32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32</v>
      </c>
      <c r="F122" s="4" t="s">
        <v>25</v>
      </c>
      <c r="G122" s="4" t="s">
        <v>25</v>
      </c>
      <c r="H122" s="4" t="s">
        <v>25</v>
      </c>
      <c r="I122" s="5">
        <v>44621</v>
      </c>
      <c r="J122" s="6">
        <v>0</v>
      </c>
      <c r="K122" s="6">
        <v>0</v>
      </c>
      <c r="L122" s="6">
        <v>2.6110000000000002</v>
      </c>
      <c r="M122" s="6">
        <v>2.6110000000000002</v>
      </c>
      <c r="N122" s="6">
        <v>2.6110000000000002</v>
      </c>
      <c r="O122" s="6">
        <v>2.6110000000000002</v>
      </c>
      <c r="P122" s="6">
        <v>32</v>
      </c>
      <c r="Q122" s="4" t="s">
        <v>26</v>
      </c>
      <c r="R122" s="4">
        <v>0</v>
      </c>
      <c r="S122" s="4">
        <v>0</v>
      </c>
      <c r="T122" s="4">
        <v>48</v>
      </c>
      <c r="U122" s="4">
        <v>71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368.07</v>
      </c>
      <c r="X122" s="6">
        <f>IF(ISERROR(VLOOKUP($U$122,'TAR FIN'!$A$1:$O$85,15,0)),0,VLOOKUP($U$122,'TAR FIN'!$A$1:$O$85,15,0))</f>
        <v>221.6</v>
      </c>
      <c r="Y122" s="6"/>
      <c r="Z122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2" s="6">
        <f>('TE BE'!$AB$15+'TE BF'!$AB$15+'TE CVA'!$AB$15)*(1-CUSTOS!$M$37)</f>
        <v>269.20939423802389</v>
      </c>
      <c r="AB122" s="6">
        <f t="shared" si="14"/>
        <v>0</v>
      </c>
      <c r="AC122" s="6">
        <f>(L122-M122)*(W122+X122)+($W$115+$X$115-$W$122-$X$122)*(L122)</f>
        <v>-7.4209083322784869E-14</v>
      </c>
      <c r="AD122" s="6">
        <f t="shared" si="15"/>
        <v>0</v>
      </c>
      <c r="AE122" s="6">
        <f ca="1">(L122-M122)*(Z122+AA122)+($Z$115+$AA$115-$Z$122-$AA$122)*(L122)</f>
        <v>1.4841816664556974E-13</v>
      </c>
      <c r="AF122" s="4" t="s">
        <v>598</v>
      </c>
    </row>
    <row r="123" spans="1:32" ht="11.25" customHeight="1" x14ac:dyDescent="0.3">
      <c r="A123" s="4" t="s">
        <v>21</v>
      </c>
      <c r="B123" s="4" t="s">
        <v>22</v>
      </c>
      <c r="C123" s="4" t="s">
        <v>23</v>
      </c>
      <c r="D123" s="4" t="s">
        <v>24</v>
      </c>
      <c r="E123" s="4" t="s">
        <v>32</v>
      </c>
      <c r="F123" s="4" t="s">
        <v>25</v>
      </c>
      <c r="G123" s="4" t="s">
        <v>25</v>
      </c>
      <c r="H123" s="4" t="s">
        <v>25</v>
      </c>
      <c r="I123" s="5">
        <v>44652</v>
      </c>
      <c r="J123" s="6">
        <v>0</v>
      </c>
      <c r="K123" s="6">
        <v>0</v>
      </c>
      <c r="L123" s="6">
        <v>2.0590000000000002</v>
      </c>
      <c r="M123" s="6">
        <v>2.0590000000000002</v>
      </c>
      <c r="N123" s="6">
        <v>2.0590000000000002</v>
      </c>
      <c r="O123" s="6">
        <v>2.0590000000000002</v>
      </c>
      <c r="P123" s="6">
        <v>26</v>
      </c>
      <c r="Q123" s="4" t="s">
        <v>26</v>
      </c>
      <c r="R123" s="4">
        <v>0</v>
      </c>
      <c r="S123" s="4">
        <v>0</v>
      </c>
      <c r="T123" s="4">
        <v>48</v>
      </c>
      <c r="U123" s="4">
        <v>71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368.07</v>
      </c>
      <c r="X123" s="6">
        <f>IF(ISERROR(VLOOKUP($U$123,'TAR FIN'!$A$1:$O$85,15,0)),0,VLOOKUP($U$123,'TAR FIN'!$A$1:$O$85,15,0))</f>
        <v>221.6</v>
      </c>
      <c r="Y123" s="6"/>
      <c r="Z123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3" s="6">
        <f>('TE BE'!$AB$15+'TE BF'!$AB$15+'TE CVA'!$AB$15)*(1-CUSTOS!$M$37)</f>
        <v>269.20939423802389</v>
      </c>
      <c r="AB123" s="6">
        <f t="shared" si="14"/>
        <v>0</v>
      </c>
      <c r="AC123" s="6">
        <f>(L123-M123)*(W123+X123)+($W$115+$X$115-$W$123-$X$123)*(L123)</f>
        <v>-5.8520299717201856E-14</v>
      </c>
      <c r="AD123" s="6">
        <f t="shared" si="15"/>
        <v>0</v>
      </c>
      <c r="AE123" s="6">
        <f ca="1">(L123-M123)*(Z123+AA123)+($Z$115+$AA$115-$Z$123-$AA$123)*(L123)</f>
        <v>1.1704059943440371E-13</v>
      </c>
      <c r="AF123" s="4" t="s">
        <v>598</v>
      </c>
    </row>
    <row r="124" spans="1:32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32</v>
      </c>
      <c r="F124" s="4" t="s">
        <v>25</v>
      </c>
      <c r="G124" s="4" t="s">
        <v>25</v>
      </c>
      <c r="H124" s="4" t="s">
        <v>25</v>
      </c>
      <c r="I124" s="5">
        <v>44682</v>
      </c>
      <c r="J124" s="6">
        <v>0</v>
      </c>
      <c r="K124" s="6">
        <v>0</v>
      </c>
      <c r="L124" s="6">
        <v>1.4379999999999999</v>
      </c>
      <c r="M124" s="6">
        <v>1.4379999999999999</v>
      </c>
      <c r="N124" s="6">
        <v>1.4379999999999999</v>
      </c>
      <c r="O124" s="6">
        <v>1.4379999999999999</v>
      </c>
      <c r="P124" s="6">
        <v>24</v>
      </c>
      <c r="Q124" s="4" t="s">
        <v>26</v>
      </c>
      <c r="R124" s="4">
        <v>0</v>
      </c>
      <c r="S124" s="4">
        <v>0</v>
      </c>
      <c r="T124" s="4">
        <v>48</v>
      </c>
      <c r="U124" s="4">
        <v>71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368.07</v>
      </c>
      <c r="X124" s="6">
        <f>IF(ISERROR(VLOOKUP($U$124,'TAR FIN'!$A$1:$O$85,15,0)),0,VLOOKUP($U$124,'TAR FIN'!$A$1:$O$85,15,0))</f>
        <v>221.6</v>
      </c>
      <c r="Y124" s="6"/>
      <c r="Z124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4" s="6">
        <f>('TE BE'!$AB$15+'TE BF'!$AB$15+'TE CVA'!$AB$15)*(1-CUSTOS!$M$37)</f>
        <v>269.20939423802389</v>
      </c>
      <c r="AB124" s="6">
        <f t="shared" si="14"/>
        <v>0</v>
      </c>
      <c r="AC124" s="6">
        <f>(L124-M124)*(W124+X124)+($W$115+$X$115-$W$124-$X$124)*(L124)</f>
        <v>-4.0870418160920961E-14</v>
      </c>
      <c r="AD124" s="6">
        <f t="shared" si="15"/>
        <v>0</v>
      </c>
      <c r="AE124" s="6">
        <f ca="1">(L124-M124)*(Z124+AA124)+($Z$115+$AA$115-$Z$124-$AA$124)*(L124)</f>
        <v>8.1740836321841922E-14</v>
      </c>
      <c r="AF124" s="4" t="s">
        <v>598</v>
      </c>
    </row>
    <row r="125" spans="1:32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32</v>
      </c>
      <c r="F125" s="4" t="s">
        <v>25</v>
      </c>
      <c r="G125" s="4" t="s">
        <v>25</v>
      </c>
      <c r="H125" s="4" t="s">
        <v>25</v>
      </c>
      <c r="I125" s="5">
        <v>44713</v>
      </c>
      <c r="J125" s="6">
        <v>0</v>
      </c>
      <c r="K125" s="6">
        <v>0</v>
      </c>
      <c r="L125" s="6">
        <v>1.7869999999999999</v>
      </c>
      <c r="M125" s="6">
        <v>1.7869999999999999</v>
      </c>
      <c r="N125" s="6">
        <v>1.7869999999999999</v>
      </c>
      <c r="O125" s="6">
        <v>1.7869999999999999</v>
      </c>
      <c r="P125" s="6">
        <v>19</v>
      </c>
      <c r="Q125" s="4" t="s">
        <v>26</v>
      </c>
      <c r="R125" s="4">
        <v>0</v>
      </c>
      <c r="S125" s="4">
        <v>0</v>
      </c>
      <c r="T125" s="4">
        <v>48</v>
      </c>
      <c r="U125" s="4">
        <v>71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368.07</v>
      </c>
      <c r="X125" s="6">
        <f>IF(ISERROR(VLOOKUP($U$125,'TAR FIN'!$A$1:$O$85,15,0)),0,VLOOKUP($U$125,'TAR FIN'!$A$1:$O$85,15,0))</f>
        <v>221.6</v>
      </c>
      <c r="Y125" s="6"/>
      <c r="Z125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5" s="6">
        <f>('TE BE'!$AB$15+'TE BF'!$AB$15+'TE CVA'!$AB$15)*(1-CUSTOS!$M$37)</f>
        <v>269.20939423802389</v>
      </c>
      <c r="AB125" s="6">
        <f t="shared" si="14"/>
        <v>0</v>
      </c>
      <c r="AC125" s="6">
        <f>(L125-M125)*(W125+X125)+($W$115+$X$115-$W$125-$X$125)*(L125)</f>
        <v>-5.0789594752131959E-14</v>
      </c>
      <c r="AD125" s="6">
        <f t="shared" si="15"/>
        <v>0</v>
      </c>
      <c r="AE125" s="6">
        <f ca="1">(L125-M125)*(Z125+AA125)+($Z$115+$AA$115-$Z$125-$AA$125)*(L125)</f>
        <v>1.0157918950426392E-13</v>
      </c>
      <c r="AF125" s="4" t="s">
        <v>598</v>
      </c>
    </row>
    <row r="126" spans="1:32" ht="11.25" customHeight="1" x14ac:dyDescent="0.3">
      <c r="A126" s="4" t="s">
        <v>27</v>
      </c>
      <c r="B126" s="4" t="s">
        <v>22</v>
      </c>
      <c r="C126" s="4" t="s">
        <v>23</v>
      </c>
      <c r="D126" s="4" t="s">
        <v>24</v>
      </c>
      <c r="E126" s="4" t="s">
        <v>32</v>
      </c>
      <c r="F126" s="4" t="s">
        <v>25</v>
      </c>
      <c r="G126" s="4" t="s">
        <v>25</v>
      </c>
      <c r="H126" s="4" t="s">
        <v>25</v>
      </c>
      <c r="I126" s="5">
        <v>44713</v>
      </c>
      <c r="J126" s="6">
        <v>0</v>
      </c>
      <c r="K126" s="6">
        <v>0</v>
      </c>
      <c r="L126" s="6">
        <v>0.436</v>
      </c>
      <c r="M126" s="6">
        <v>0.436</v>
      </c>
      <c r="N126" s="6">
        <v>0.436</v>
      </c>
      <c r="O126" s="6">
        <v>0.436</v>
      </c>
      <c r="P126" s="6">
        <v>0</v>
      </c>
      <c r="Q126" s="4" t="s">
        <v>26</v>
      </c>
      <c r="R126" s="4">
        <v>0</v>
      </c>
      <c r="S126" s="4">
        <v>0</v>
      </c>
      <c r="T126" s="4">
        <v>48</v>
      </c>
      <c r="U126" s="4">
        <v>71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368.07</v>
      </c>
      <c r="X126" s="6">
        <f>IF(ISERROR(VLOOKUP($U$126,'TAR FIN'!$A$1:$O$85,15,0)),0,VLOOKUP($U$126,'TAR FIN'!$A$1:$O$85,15,0))</f>
        <v>221.6</v>
      </c>
      <c r="Y126" s="6"/>
      <c r="Z126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6" s="6">
        <f>('TE BE'!$AB$15+'TE BF'!$AB$15+'TE CVA'!$AB$15)*(1-CUSTOS!$M$37)</f>
        <v>269.20939423802389</v>
      </c>
      <c r="AB126" s="6">
        <f t="shared" si="14"/>
        <v>0</v>
      </c>
      <c r="AC126" s="6">
        <f>(L126-M126)*(W126+X126)+($W$115+$X$115-$W$126-$X$126)*(L126)</f>
        <v>-1.2391865311656147E-14</v>
      </c>
      <c r="AD126" s="6">
        <f t="shared" si="15"/>
        <v>0</v>
      </c>
      <c r="AE126" s="6">
        <f ca="1">(L126-M126)*(Z126+AA126)+($Z$115+$AA$115-$Z$126-$AA$126)*(L126)</f>
        <v>2.4783730623312294E-14</v>
      </c>
      <c r="AF126" s="4" t="s">
        <v>598</v>
      </c>
    </row>
    <row r="127" spans="1:32" ht="11.25" customHeight="1" x14ac:dyDescent="0.3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32</v>
      </c>
      <c r="F127" s="4" t="s">
        <v>25</v>
      </c>
      <c r="G127" s="4" t="s">
        <v>25</v>
      </c>
      <c r="H127" s="4" t="s">
        <v>25</v>
      </c>
      <c r="I127" s="5">
        <v>44743</v>
      </c>
      <c r="J127" s="6">
        <v>0</v>
      </c>
      <c r="K127" s="6">
        <v>0</v>
      </c>
      <c r="L127" s="6">
        <v>1.2589999999999999</v>
      </c>
      <c r="M127" s="6">
        <v>1.2589999999999999</v>
      </c>
      <c r="N127" s="6">
        <v>1.2589999999999999</v>
      </c>
      <c r="O127" s="6">
        <v>1.2589999999999999</v>
      </c>
      <c r="P127" s="6">
        <v>16</v>
      </c>
      <c r="Q127" s="4" t="s">
        <v>26</v>
      </c>
      <c r="R127" s="4">
        <v>0</v>
      </c>
      <c r="S127" s="4">
        <v>0</v>
      </c>
      <c r="T127" s="4">
        <v>48</v>
      </c>
      <c r="U127" s="4">
        <v>71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368.07</v>
      </c>
      <c r="X127" s="6">
        <f>IF(ISERROR(VLOOKUP($U$127,'TAR FIN'!$A$1:$O$85,15,0)),0,VLOOKUP($U$127,'TAR FIN'!$A$1:$O$85,15,0))</f>
        <v>221.6</v>
      </c>
      <c r="Y127" s="6"/>
      <c r="Z127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7" s="6">
        <f>('TE BE'!$AB$15+'TE BF'!$AB$15+'TE CVA'!$AB$15)*(1-CUSTOS!$M$37)</f>
        <v>269.20939423802389</v>
      </c>
      <c r="AB127" s="6">
        <f t="shared" si="14"/>
        <v>0</v>
      </c>
      <c r="AC127" s="6">
        <f>(L127-M127)*(W127+X127)+($W$115+$X$115-$W$127-$X$127)*(L127)</f>
        <v>-3.5782932172878642E-14</v>
      </c>
      <c r="AD127" s="6">
        <f t="shared" si="15"/>
        <v>0</v>
      </c>
      <c r="AE127" s="6">
        <f ca="1">(L127-M127)*(Z127+AA127)+($Z$115+$AA$115-$Z$127-$AA$127)*(L127)</f>
        <v>7.1565864345757285E-14</v>
      </c>
      <c r="AF127" s="4" t="s">
        <v>598</v>
      </c>
    </row>
    <row r="128" spans="1:32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32</v>
      </c>
      <c r="F128" s="4" t="s">
        <v>25</v>
      </c>
      <c r="G128" s="4" t="s">
        <v>25</v>
      </c>
      <c r="H128" s="4" t="s">
        <v>25</v>
      </c>
      <c r="I128" s="5">
        <v>44774</v>
      </c>
      <c r="J128" s="6">
        <v>0</v>
      </c>
      <c r="K128" s="6">
        <v>0</v>
      </c>
      <c r="L128" s="6">
        <v>1.1619999999999999</v>
      </c>
      <c r="M128" s="6">
        <v>1.1619999999999999</v>
      </c>
      <c r="N128" s="6">
        <v>1.1619999999999999</v>
      </c>
      <c r="O128" s="6">
        <v>1.1619999999999999</v>
      </c>
      <c r="P128" s="6">
        <v>20</v>
      </c>
      <c r="Q128" s="4" t="s">
        <v>26</v>
      </c>
      <c r="R128" s="4">
        <v>0</v>
      </c>
      <c r="S128" s="4">
        <v>0</v>
      </c>
      <c r="T128" s="4">
        <v>48</v>
      </c>
      <c r="U128" s="4">
        <v>71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368.07</v>
      </c>
      <c r="X128" s="6">
        <f>IF(ISERROR(VLOOKUP($U$128,'TAR FIN'!$A$1:$O$85,15,0)),0,VLOOKUP($U$128,'TAR FIN'!$A$1:$O$85,15,0))</f>
        <v>221.6</v>
      </c>
      <c r="Y128" s="6"/>
      <c r="Z128" s="6">
        <f ca="1">('TUSD BE'!$AM$24+'TUSD BF'!$AM$24+'TUSD CVA'!$AM$24-('TUSD BE'!$P$24+'TUSD BF'!$P$24+'TUSD CVA'!$P$24)-('TUSD BE'!$Q$24+'TUSD BF'!$Q$24+'TUSD CVA'!$Q$24)-('TUSD BE'!$R$24+'TUSD BF'!$R$24+'TUSD CVA'!$R$24))*(1-CUSTOS!$M$37)</f>
        <v>351.991635111763</v>
      </c>
      <c r="AA128" s="6">
        <f>('TE BE'!$AB$15+'TE BF'!$AB$15+'TE CVA'!$AB$15)*(1-CUSTOS!$M$37)</f>
        <v>269.20939423802389</v>
      </c>
      <c r="AB128" s="6">
        <f t="shared" si="14"/>
        <v>0</v>
      </c>
      <c r="AC128" s="6">
        <f>(L128-M128)*(W128+X128)+($W$115+$X$115-$W$128-$X$128)*(L128)</f>
        <v>-3.3026026358129454E-14</v>
      </c>
      <c r="AD128" s="6">
        <f t="shared" si="15"/>
        <v>0</v>
      </c>
      <c r="AE128" s="6">
        <f ca="1">(L128-M128)*(Z128+AA128)+($Z$115+$AA$115-$Z$128-$AA$128)*(L128)</f>
        <v>6.6052052716258909E-14</v>
      </c>
      <c r="AF128" s="4" t="s">
        <v>598</v>
      </c>
    </row>
    <row r="129" spans="1:32" ht="11.25" customHeight="1" x14ac:dyDescent="0.3">
      <c r="A129" s="4" t="s">
        <v>21</v>
      </c>
      <c r="B129" s="4" t="s">
        <v>41</v>
      </c>
      <c r="C129" s="4" t="s">
        <v>23</v>
      </c>
      <c r="D129" s="4" t="s">
        <v>42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0</v>
      </c>
      <c r="K129" s="6">
        <v>0</v>
      </c>
      <c r="L129" s="6">
        <v>108.533</v>
      </c>
      <c r="M129" s="6">
        <v>108.533</v>
      </c>
      <c r="N129" s="6">
        <v>108.533</v>
      </c>
      <c r="O129" s="6">
        <v>108.533</v>
      </c>
      <c r="P129" s="6">
        <v>329</v>
      </c>
      <c r="Q129" s="4" t="s">
        <v>26</v>
      </c>
      <c r="R129" s="4">
        <v>0</v>
      </c>
      <c r="S129" s="4">
        <v>0</v>
      </c>
      <c r="T129" s="4">
        <v>39</v>
      </c>
      <c r="U129" s="4">
        <v>10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406.8</v>
      </c>
      <c r="X129" s="6">
        <f>IF(ISERROR(VLOOKUP($U$129,'TAR FIN'!$A$1:$O$85,15,0)),0,VLOOKUP($U$129,'TAR FIN'!$A$1:$O$85,15,0))</f>
        <v>195</v>
      </c>
      <c r="Y129" s="6"/>
      <c r="Z129" s="6">
        <f ca="1">('TUSD BE'!$AM$33+'TUSD BF'!$AM$33+'TUSD CVA'!$AM$33)*(1-CUSTOS!$M$38)</f>
        <v>456.17471841965244</v>
      </c>
      <c r="AA129" s="6">
        <f>('TE BE'!$AB$24+'TE BF'!$AB$24+'TE CVA'!$AB$24)*(1-CUSTOS!$M$38)</f>
        <v>253.05683058374245</v>
      </c>
      <c r="AB129" s="6">
        <f t="shared" si="14"/>
        <v>0</v>
      </c>
      <c r="AC129" s="6">
        <f>(L129-M129)*(W129+X129)+($W$74+$X$74-$W$129-$X$129)*(L129)</f>
        <v>8907.3033099999993</v>
      </c>
      <c r="AD129" s="6">
        <f t="shared" si="15"/>
        <v>0</v>
      </c>
      <c r="AE129" s="6">
        <f ca="1">(L129-M129)*(Z129+AA129)+($Z$74+$AA$74-$Z$129-$AA$129)*(L129)</f>
        <v>4913.2996409352427</v>
      </c>
      <c r="AF129" s="4" t="s">
        <v>599</v>
      </c>
    </row>
    <row r="130" spans="1:32" ht="11.25" customHeight="1" x14ac:dyDescent="0.3">
      <c r="A130" s="4" t="s">
        <v>28</v>
      </c>
      <c r="B130" s="4" t="s">
        <v>41</v>
      </c>
      <c r="C130" s="4" t="s">
        <v>23</v>
      </c>
      <c r="D130" s="4" t="s">
        <v>42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44440</v>
      </c>
      <c r="J130" s="6">
        <v>0</v>
      </c>
      <c r="K130" s="6">
        <v>0</v>
      </c>
      <c r="L130" s="6">
        <v>0.42399999999999999</v>
      </c>
      <c r="M130" s="6">
        <v>0.42399999999999999</v>
      </c>
      <c r="N130" s="6">
        <v>0.42399999999999999</v>
      </c>
      <c r="O130" s="6">
        <v>0.42399999999999999</v>
      </c>
      <c r="P130" s="6">
        <v>3</v>
      </c>
      <c r="Q130" s="4" t="s">
        <v>26</v>
      </c>
      <c r="R130" s="4">
        <v>0</v>
      </c>
      <c r="S130" s="4">
        <v>0</v>
      </c>
      <c r="T130" s="4">
        <v>39</v>
      </c>
      <c r="U130" s="4">
        <v>10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406.8</v>
      </c>
      <c r="X130" s="6">
        <f>IF(ISERROR(VLOOKUP($U$130,'TAR FIN'!$A$1:$O$85,15,0)),0,VLOOKUP($U$130,'TAR FIN'!$A$1:$O$85,15,0))</f>
        <v>195</v>
      </c>
      <c r="Y130" s="6"/>
      <c r="Z130" s="6">
        <f ca="1">('TUSD BE'!$AM$33+'TUSD BF'!$AM$33+'TUSD CVA'!$AM$33)*(1-CUSTOS!$M$38)</f>
        <v>456.17471841965244</v>
      </c>
      <c r="AA130" s="6">
        <f>('TE BE'!$AB$24+'TE BF'!$AB$24+'TE CVA'!$AB$24)*(1-CUSTOS!$M$38)</f>
        <v>253.05683058374245</v>
      </c>
      <c r="AB130" s="6">
        <f t="shared" ref="AB130:AB156" si="16">(J130-K130)*V130</f>
        <v>0</v>
      </c>
      <c r="AC130" s="6">
        <f>(L130-M130)*(W130+X130)+($W$74+$X$74-$W$130-$X$130)*(L130)</f>
        <v>34.797679999999993</v>
      </c>
      <c r="AD130" s="6">
        <f t="shared" ref="AD130:AD156" si="17">(J130-K130)*Y130</f>
        <v>0</v>
      </c>
      <c r="AE130" s="6">
        <f ca="1">(L130-M130)*(Z130+AA130)+($Z$74+$AA$74-$Z$130-$AA$130)*(L130)</f>
        <v>19.19452192196422</v>
      </c>
      <c r="AF130" s="4" t="s">
        <v>599</v>
      </c>
    </row>
    <row r="131" spans="1:32" ht="11.25" customHeight="1" x14ac:dyDescent="0.3">
      <c r="A131" s="4" t="s">
        <v>21</v>
      </c>
      <c r="B131" s="4" t="s">
        <v>41</v>
      </c>
      <c r="C131" s="4" t="s">
        <v>23</v>
      </c>
      <c r="D131" s="4" t="s">
        <v>42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44470</v>
      </c>
      <c r="J131" s="6">
        <v>0</v>
      </c>
      <c r="K131" s="6">
        <v>0</v>
      </c>
      <c r="L131" s="6">
        <v>105.29</v>
      </c>
      <c r="M131" s="6">
        <v>105.29</v>
      </c>
      <c r="N131" s="6">
        <v>105.29</v>
      </c>
      <c r="O131" s="6">
        <v>105.29</v>
      </c>
      <c r="P131" s="6">
        <v>334</v>
      </c>
      <c r="Q131" s="4" t="s">
        <v>26</v>
      </c>
      <c r="R131" s="4">
        <v>0</v>
      </c>
      <c r="S131" s="4">
        <v>0</v>
      </c>
      <c r="T131" s="4">
        <v>39</v>
      </c>
      <c r="U131" s="4">
        <v>10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406.8</v>
      </c>
      <c r="X131" s="6">
        <f>IF(ISERROR(VLOOKUP($U$131,'TAR FIN'!$A$1:$O$85,15,0)),0,VLOOKUP($U$131,'TAR FIN'!$A$1:$O$85,15,0))</f>
        <v>195</v>
      </c>
      <c r="Y131" s="6"/>
      <c r="Z131" s="6">
        <f ca="1">('TUSD BE'!$AM$33+'TUSD BF'!$AM$33+'TUSD CVA'!$AM$33)*(1-CUSTOS!$M$38)</f>
        <v>456.17471841965244</v>
      </c>
      <c r="AA131" s="6">
        <f>('TE BE'!$AB$24+'TE BF'!$AB$24+'TE CVA'!$AB$24)*(1-CUSTOS!$M$38)</f>
        <v>253.05683058374245</v>
      </c>
      <c r="AB131" s="6">
        <f t="shared" si="16"/>
        <v>0</v>
      </c>
      <c r="AC131" s="6">
        <f>(L131-M131)*(W131+X131)+($W$74+$X$74-$W$131-$X$131)*(L131)</f>
        <v>8641.1502999999993</v>
      </c>
      <c r="AD131" s="6">
        <f t="shared" si="17"/>
        <v>0</v>
      </c>
      <c r="AE131" s="6">
        <f ca="1">(L131-M131)*(Z131+AA131)+($Z$74+$AA$74-$Z$131-$AA$131)*(L131)</f>
        <v>4766.48871029154</v>
      </c>
      <c r="AF131" s="4" t="s">
        <v>599</v>
      </c>
    </row>
    <row r="132" spans="1:32" ht="11.25" customHeight="1" x14ac:dyDescent="0.3">
      <c r="A132" s="4" t="s">
        <v>27</v>
      </c>
      <c r="B132" s="4" t="s">
        <v>41</v>
      </c>
      <c r="C132" s="4" t="s">
        <v>23</v>
      </c>
      <c r="D132" s="4" t="s">
        <v>42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44470</v>
      </c>
      <c r="J132" s="6">
        <v>0</v>
      </c>
      <c r="K132" s="6">
        <v>0</v>
      </c>
      <c r="L132" s="6">
        <v>-0.44600000000000001</v>
      </c>
      <c r="M132" s="6">
        <v>-0.44600000000000001</v>
      </c>
      <c r="N132" s="6">
        <v>-0.44600000000000001</v>
      </c>
      <c r="O132" s="6">
        <v>-0.44600000000000001</v>
      </c>
      <c r="P132" s="6">
        <v>0</v>
      </c>
      <c r="Q132" s="4" t="s">
        <v>26</v>
      </c>
      <c r="R132" s="4">
        <v>0</v>
      </c>
      <c r="S132" s="4">
        <v>0</v>
      </c>
      <c r="T132" s="4">
        <v>39</v>
      </c>
      <c r="U132" s="4">
        <v>10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406.8</v>
      </c>
      <c r="X132" s="6">
        <f>IF(ISERROR(VLOOKUP($U$132,'TAR FIN'!$A$1:$O$85,15,0)),0,VLOOKUP($U$132,'TAR FIN'!$A$1:$O$85,15,0))</f>
        <v>195</v>
      </c>
      <c r="Y132" s="6"/>
      <c r="Z132" s="6">
        <f ca="1">('TUSD BE'!$AM$33+'TUSD BF'!$AM$33+'TUSD CVA'!$AM$33)*(1-CUSTOS!$M$38)</f>
        <v>456.17471841965244</v>
      </c>
      <c r="AA132" s="6">
        <f>('TE BE'!$AB$24+'TE BF'!$AB$24+'TE CVA'!$AB$24)*(1-CUSTOS!$M$38)</f>
        <v>253.05683058374245</v>
      </c>
      <c r="AB132" s="6">
        <f t="shared" si="16"/>
        <v>0</v>
      </c>
      <c r="AC132" s="6">
        <f>(L132-M132)*(W132+X132)+($W$74+$X$74-$W$132-$X$132)*(L132)</f>
        <v>-36.60322</v>
      </c>
      <c r="AD132" s="6">
        <f t="shared" si="17"/>
        <v>0</v>
      </c>
      <c r="AE132" s="6">
        <f ca="1">(L132-M132)*(Z132+AA132)+($Z$74+$AA$74-$Z$132-$AA$132)*(L132)</f>
        <v>-20.190464097160479</v>
      </c>
      <c r="AF132" s="4" t="s">
        <v>599</v>
      </c>
    </row>
    <row r="133" spans="1:32" ht="11.25" customHeight="1" x14ac:dyDescent="0.3">
      <c r="A133" s="4" t="s">
        <v>28</v>
      </c>
      <c r="B133" s="4" t="s">
        <v>41</v>
      </c>
      <c r="C133" s="4" t="s">
        <v>23</v>
      </c>
      <c r="D133" s="4" t="s">
        <v>42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44470</v>
      </c>
      <c r="J133" s="6">
        <v>0</v>
      </c>
      <c r="K133" s="6">
        <v>0</v>
      </c>
      <c r="L133" s="6">
        <v>1.4690000000000001</v>
      </c>
      <c r="M133" s="6">
        <v>1.4690000000000001</v>
      </c>
      <c r="N133" s="6">
        <v>1.4690000000000001</v>
      </c>
      <c r="O133" s="6">
        <v>1.4690000000000001</v>
      </c>
      <c r="P133" s="6">
        <v>3</v>
      </c>
      <c r="Q133" s="4" t="s">
        <v>26</v>
      </c>
      <c r="R133" s="4">
        <v>0</v>
      </c>
      <c r="S133" s="4">
        <v>0</v>
      </c>
      <c r="T133" s="4">
        <v>39</v>
      </c>
      <c r="U133" s="4">
        <v>10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406.8</v>
      </c>
      <c r="X133" s="6">
        <f>IF(ISERROR(VLOOKUP($U$133,'TAR FIN'!$A$1:$O$85,15,0)),0,VLOOKUP($U$133,'TAR FIN'!$A$1:$O$85,15,0))</f>
        <v>195</v>
      </c>
      <c r="Y133" s="6"/>
      <c r="Z133" s="6">
        <f ca="1">('TUSD BE'!$AM$33+'TUSD BF'!$AM$33+'TUSD CVA'!$AM$33)*(1-CUSTOS!$M$38)</f>
        <v>456.17471841965244</v>
      </c>
      <c r="AA133" s="6">
        <f>('TE BE'!$AB$24+'TE BF'!$AB$24+'TE CVA'!$AB$24)*(1-CUSTOS!$M$38)</f>
        <v>253.05683058374245</v>
      </c>
      <c r="AB133" s="6">
        <f t="shared" si="16"/>
        <v>0</v>
      </c>
      <c r="AC133" s="6">
        <f>(L133-M133)*(W133+X133)+($W$74+$X$74-$W$133-$X$133)*(L133)</f>
        <v>120.56083</v>
      </c>
      <c r="AD133" s="6">
        <f t="shared" si="17"/>
        <v>0</v>
      </c>
      <c r="AE133" s="6">
        <f ca="1">(L133-M133)*(Z133+AA133)+($Z$74+$AA$74-$Z$133-$AA$133)*(L133)</f>
        <v>66.501775243786426</v>
      </c>
      <c r="AF133" s="4" t="s">
        <v>599</v>
      </c>
    </row>
    <row r="134" spans="1:32" ht="11.25" customHeight="1" x14ac:dyDescent="0.3">
      <c r="A134" s="4" t="s">
        <v>21</v>
      </c>
      <c r="B134" s="4" t="s">
        <v>41</v>
      </c>
      <c r="C134" s="4" t="s">
        <v>23</v>
      </c>
      <c r="D134" s="4" t="s">
        <v>42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0</v>
      </c>
      <c r="K134" s="6">
        <v>0</v>
      </c>
      <c r="L134" s="6">
        <v>111.015</v>
      </c>
      <c r="M134" s="6">
        <v>111.015</v>
      </c>
      <c r="N134" s="6">
        <v>111.015</v>
      </c>
      <c r="O134" s="6">
        <v>111.015</v>
      </c>
      <c r="P134" s="6">
        <v>331</v>
      </c>
      <c r="Q134" s="4" t="s">
        <v>26</v>
      </c>
      <c r="R134" s="4">
        <v>0</v>
      </c>
      <c r="S134" s="4">
        <v>0</v>
      </c>
      <c r="T134" s="4">
        <v>39</v>
      </c>
      <c r="U134" s="4">
        <v>10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406.8</v>
      </c>
      <c r="X134" s="6">
        <f>IF(ISERROR(VLOOKUP($U$134,'TAR FIN'!$A$1:$O$85,15,0)),0,VLOOKUP($U$134,'TAR FIN'!$A$1:$O$85,15,0))</f>
        <v>195</v>
      </c>
      <c r="Y134" s="6"/>
      <c r="Z134" s="6">
        <f ca="1">('TUSD BE'!$AM$33+'TUSD BF'!$AM$33+'TUSD CVA'!$AM$33)*(1-CUSTOS!$M$38)</f>
        <v>456.17471841965244</v>
      </c>
      <c r="AA134" s="6">
        <f>('TE BE'!$AB$24+'TE BF'!$AB$24+'TE CVA'!$AB$24)*(1-CUSTOS!$M$38)</f>
        <v>253.05683058374245</v>
      </c>
      <c r="AB134" s="6">
        <f t="shared" si="16"/>
        <v>0</v>
      </c>
      <c r="AC134" s="6">
        <f>(L134-M134)*(W134+X134)+($W$74+$X$74-$W$134-$X$134)*(L134)</f>
        <v>9111.0010499999989</v>
      </c>
      <c r="AD134" s="6">
        <f t="shared" si="17"/>
        <v>0</v>
      </c>
      <c r="AE134" s="6">
        <f ca="1">(L134-M134)*(Z134+AA134)+($Z$74+$AA$74-$Z$134-$AA$134)*(L134)</f>
        <v>5025.6600263369291</v>
      </c>
      <c r="AF134" s="4" t="s">
        <v>599</v>
      </c>
    </row>
    <row r="135" spans="1:32" ht="11.25" customHeight="1" x14ac:dyDescent="0.3">
      <c r="A135" s="4" t="s">
        <v>28</v>
      </c>
      <c r="B135" s="4" t="s">
        <v>41</v>
      </c>
      <c r="C135" s="4" t="s">
        <v>23</v>
      </c>
      <c r="D135" s="4" t="s">
        <v>42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44501</v>
      </c>
      <c r="J135" s="6">
        <v>0</v>
      </c>
      <c r="K135" s="6">
        <v>0</v>
      </c>
      <c r="L135" s="6">
        <v>0.28299999999999997</v>
      </c>
      <c r="M135" s="6">
        <v>0.28299999999999997</v>
      </c>
      <c r="N135" s="6">
        <v>0.28299999999999997</v>
      </c>
      <c r="O135" s="6">
        <v>0.28299999999999997</v>
      </c>
      <c r="P135" s="6">
        <v>3</v>
      </c>
      <c r="Q135" s="4" t="s">
        <v>26</v>
      </c>
      <c r="R135" s="4">
        <v>0</v>
      </c>
      <c r="S135" s="4">
        <v>0</v>
      </c>
      <c r="T135" s="4">
        <v>39</v>
      </c>
      <c r="U135" s="4">
        <v>10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406.8</v>
      </c>
      <c r="X135" s="6">
        <f>IF(ISERROR(VLOOKUP($U$135,'TAR FIN'!$A$1:$O$85,15,0)),0,VLOOKUP($U$135,'TAR FIN'!$A$1:$O$85,15,0))</f>
        <v>195</v>
      </c>
      <c r="Y135" s="6"/>
      <c r="Z135" s="6">
        <f ca="1">('TUSD BE'!$AM$33+'TUSD BF'!$AM$33+'TUSD CVA'!$AM$33)*(1-CUSTOS!$M$38)</f>
        <v>456.17471841965244</v>
      </c>
      <c r="AA135" s="6">
        <f>('TE BE'!$AB$24+'TE BF'!$AB$24+'TE CVA'!$AB$24)*(1-CUSTOS!$M$38)</f>
        <v>253.05683058374245</v>
      </c>
      <c r="AB135" s="6">
        <f t="shared" si="16"/>
        <v>0</v>
      </c>
      <c r="AC135" s="6">
        <f>(L135-M135)*(W135+X135)+($W$74+$X$74-$W$135-$X$135)*(L135)</f>
        <v>23.225809999999996</v>
      </c>
      <c r="AD135" s="6">
        <f t="shared" si="17"/>
        <v>0</v>
      </c>
      <c r="AE135" s="6">
        <f ca="1">(L135-M135)*(Z135+AA135)+($Z$74+$AA$74-$Z$135-$AA$135)*(L135)</f>
        <v>12.811437980933666</v>
      </c>
      <c r="AF135" s="4" t="s">
        <v>599</v>
      </c>
    </row>
    <row r="136" spans="1:32" ht="11.25" customHeight="1" x14ac:dyDescent="0.3">
      <c r="A136" s="4" t="s">
        <v>21</v>
      </c>
      <c r="B136" s="4" t="s">
        <v>41</v>
      </c>
      <c r="C136" s="4" t="s">
        <v>23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0</v>
      </c>
      <c r="K136" s="6">
        <v>0</v>
      </c>
      <c r="L136" s="6">
        <v>115.242</v>
      </c>
      <c r="M136" s="6">
        <v>115.242</v>
      </c>
      <c r="N136" s="6">
        <v>115.242</v>
      </c>
      <c r="O136" s="6">
        <v>115.242</v>
      </c>
      <c r="P136" s="6">
        <v>333</v>
      </c>
      <c r="Q136" s="4" t="s">
        <v>26</v>
      </c>
      <c r="R136" s="4">
        <v>0</v>
      </c>
      <c r="S136" s="4">
        <v>0</v>
      </c>
      <c r="T136" s="4">
        <v>39</v>
      </c>
      <c r="U136" s="4">
        <v>10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406.8</v>
      </c>
      <c r="X136" s="6">
        <f>IF(ISERROR(VLOOKUP($U$136,'TAR FIN'!$A$1:$O$85,15,0)),0,VLOOKUP($U$136,'TAR FIN'!$A$1:$O$85,15,0))</f>
        <v>195</v>
      </c>
      <c r="Y136" s="6"/>
      <c r="Z136" s="6">
        <f ca="1">('TUSD BE'!$AM$33+'TUSD BF'!$AM$33+'TUSD CVA'!$AM$33)*(1-CUSTOS!$M$38)</f>
        <v>456.17471841965244</v>
      </c>
      <c r="AA136" s="6">
        <f>('TE BE'!$AB$24+'TE BF'!$AB$24+'TE CVA'!$AB$24)*(1-CUSTOS!$M$38)</f>
        <v>253.05683058374245</v>
      </c>
      <c r="AB136" s="6">
        <f t="shared" si="16"/>
        <v>0</v>
      </c>
      <c r="AC136" s="6">
        <f>(L136-M136)*(W136+X136)+($W$74+$X$74-$W$136-$X$136)*(L136)</f>
        <v>9457.9109399999998</v>
      </c>
      <c r="AD136" s="6">
        <f t="shared" si="17"/>
        <v>0</v>
      </c>
      <c r="AE136" s="6">
        <f ca="1">(L136-M136)*(Z136+AA136)+($Z$74+$AA$74-$Z$136-$AA$136)*(L136)</f>
        <v>5217.0167342712284</v>
      </c>
      <c r="AF136" s="4" t="s">
        <v>599</v>
      </c>
    </row>
    <row r="137" spans="1:32" ht="11.25" customHeight="1" x14ac:dyDescent="0.3">
      <c r="A137" s="4" t="s">
        <v>28</v>
      </c>
      <c r="B137" s="4" t="s">
        <v>41</v>
      </c>
      <c r="C137" s="4" t="s">
        <v>23</v>
      </c>
      <c r="D137" s="4" t="s">
        <v>42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44531</v>
      </c>
      <c r="J137" s="6">
        <v>0</v>
      </c>
      <c r="K137" s="6">
        <v>0</v>
      </c>
      <c r="L137" s="6">
        <v>1.2270000000000001</v>
      </c>
      <c r="M137" s="6">
        <v>1.2270000000000001</v>
      </c>
      <c r="N137" s="6">
        <v>1.2270000000000001</v>
      </c>
      <c r="O137" s="6">
        <v>1.2270000000000001</v>
      </c>
      <c r="P137" s="6">
        <v>3</v>
      </c>
      <c r="Q137" s="4" t="s">
        <v>26</v>
      </c>
      <c r="R137" s="4">
        <v>0</v>
      </c>
      <c r="S137" s="4">
        <v>0</v>
      </c>
      <c r="T137" s="4">
        <v>39</v>
      </c>
      <c r="U137" s="4">
        <v>10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406.8</v>
      </c>
      <c r="X137" s="6">
        <f>IF(ISERROR(VLOOKUP($U$137,'TAR FIN'!$A$1:$O$85,15,0)),0,VLOOKUP($U$137,'TAR FIN'!$A$1:$O$85,15,0))</f>
        <v>195</v>
      </c>
      <c r="Y137" s="6"/>
      <c r="Z137" s="6">
        <f ca="1">('TUSD BE'!$AM$33+'TUSD BF'!$AM$33+'TUSD CVA'!$AM$33)*(1-CUSTOS!$M$38)</f>
        <v>456.17471841965244</v>
      </c>
      <c r="AA137" s="6">
        <f>('TE BE'!$AB$24+'TE BF'!$AB$24+'TE CVA'!$AB$24)*(1-CUSTOS!$M$38)</f>
        <v>253.05683058374245</v>
      </c>
      <c r="AB137" s="6">
        <f t="shared" si="16"/>
        <v>0</v>
      </c>
      <c r="AC137" s="6">
        <f>(L137-M137)*(W137+X137)+($W$74+$X$74-$W$137-$X$137)*(L137)</f>
        <v>100.69989</v>
      </c>
      <c r="AD137" s="6">
        <f t="shared" si="17"/>
        <v>0</v>
      </c>
      <c r="AE137" s="6">
        <f ca="1">(L137-M137)*(Z137+AA137)+($Z$74+$AA$74-$Z$137-$AA$137)*(L137)</f>
        <v>55.546411316627598</v>
      </c>
      <c r="AF137" s="4" t="s">
        <v>599</v>
      </c>
    </row>
    <row r="138" spans="1:32" ht="11.25" customHeight="1" x14ac:dyDescent="0.3">
      <c r="A138" s="4" t="s">
        <v>21</v>
      </c>
      <c r="B138" s="4" t="s">
        <v>41</v>
      </c>
      <c r="C138" s="4" t="s">
        <v>23</v>
      </c>
      <c r="D138" s="4" t="s">
        <v>42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44562</v>
      </c>
      <c r="J138" s="6">
        <v>0</v>
      </c>
      <c r="K138" s="6">
        <v>0</v>
      </c>
      <c r="L138" s="6">
        <v>132.32300000000001</v>
      </c>
      <c r="M138" s="6">
        <v>132.32300000000001</v>
      </c>
      <c r="N138" s="6">
        <v>132.32300000000001</v>
      </c>
      <c r="O138" s="6">
        <v>132.32300000000001</v>
      </c>
      <c r="P138" s="6">
        <v>334</v>
      </c>
      <c r="Q138" s="4" t="s">
        <v>26</v>
      </c>
      <c r="R138" s="4">
        <v>0</v>
      </c>
      <c r="S138" s="4">
        <v>0</v>
      </c>
      <c r="T138" s="4">
        <v>39</v>
      </c>
      <c r="U138" s="4">
        <v>10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406.8</v>
      </c>
      <c r="X138" s="6">
        <f>IF(ISERROR(VLOOKUP($U$138,'TAR FIN'!$A$1:$O$85,15,0)),0,VLOOKUP($U$138,'TAR FIN'!$A$1:$O$85,15,0))</f>
        <v>195</v>
      </c>
      <c r="Y138" s="6"/>
      <c r="Z138" s="6">
        <f ca="1">('TUSD BE'!$AM$33+'TUSD BF'!$AM$33+'TUSD CVA'!$AM$33)*(1-CUSTOS!$M$38)</f>
        <v>456.17471841965244</v>
      </c>
      <c r="AA138" s="6">
        <f>('TE BE'!$AB$24+'TE BF'!$AB$24+'TE CVA'!$AB$24)*(1-CUSTOS!$M$38)</f>
        <v>253.05683058374245</v>
      </c>
      <c r="AB138" s="6">
        <f t="shared" si="16"/>
        <v>0</v>
      </c>
      <c r="AC138" s="6">
        <f>(L138-M138)*(W138+X138)+($W$74+$X$74-$W$138-$X$138)*(L138)</f>
        <v>10859.748610000001</v>
      </c>
      <c r="AD138" s="6">
        <f t="shared" si="17"/>
        <v>0</v>
      </c>
      <c r="AE138" s="6">
        <f ca="1">(L138-M138)*(Z138+AA138)+($Z$74+$AA$74-$Z$138-$AA$138)*(L138)</f>
        <v>5990.2752931133773</v>
      </c>
      <c r="AF138" s="4" t="s">
        <v>599</v>
      </c>
    </row>
    <row r="139" spans="1:32" ht="11.25" customHeight="1" x14ac:dyDescent="0.3">
      <c r="A139" s="4" t="s">
        <v>28</v>
      </c>
      <c r="B139" s="4" t="s">
        <v>41</v>
      </c>
      <c r="C139" s="4" t="s">
        <v>23</v>
      </c>
      <c r="D139" s="4" t="s">
        <v>42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44562</v>
      </c>
      <c r="J139" s="6">
        <v>0</v>
      </c>
      <c r="K139" s="6">
        <v>0</v>
      </c>
      <c r="L139" s="6">
        <v>3.0249999999999999</v>
      </c>
      <c r="M139" s="6">
        <v>3.0249999999999999</v>
      </c>
      <c r="N139" s="6">
        <v>3.0249999999999999</v>
      </c>
      <c r="O139" s="6">
        <v>3.0249999999999999</v>
      </c>
      <c r="P139" s="6">
        <v>5</v>
      </c>
      <c r="Q139" s="4" t="s">
        <v>26</v>
      </c>
      <c r="R139" s="4">
        <v>0</v>
      </c>
      <c r="S139" s="4">
        <v>0</v>
      </c>
      <c r="T139" s="4">
        <v>39</v>
      </c>
      <c r="U139" s="4">
        <v>10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406.8</v>
      </c>
      <c r="X139" s="6">
        <f>IF(ISERROR(VLOOKUP($U$139,'TAR FIN'!$A$1:$O$85,15,0)),0,VLOOKUP($U$139,'TAR FIN'!$A$1:$O$85,15,0))</f>
        <v>195</v>
      </c>
      <c r="Y139" s="6"/>
      <c r="Z139" s="6">
        <f ca="1">('TUSD BE'!$AM$33+'TUSD BF'!$AM$33+'TUSD CVA'!$AM$33)*(1-CUSTOS!$M$38)</f>
        <v>456.17471841965244</v>
      </c>
      <c r="AA139" s="6">
        <f>('TE BE'!$AB$24+'TE BF'!$AB$24+'TE CVA'!$AB$24)*(1-CUSTOS!$M$38)</f>
        <v>253.05683058374245</v>
      </c>
      <c r="AB139" s="6">
        <f t="shared" si="16"/>
        <v>0</v>
      </c>
      <c r="AC139" s="6">
        <f>(L139-M139)*(W139+X139)+($W$74+$X$74-$W$139-$X$139)*(L139)</f>
        <v>248.26174999999998</v>
      </c>
      <c r="AD139" s="6">
        <f t="shared" si="17"/>
        <v>0</v>
      </c>
      <c r="AE139" s="6">
        <f ca="1">(L139-M139)*(Z139+AA139)+($Z$74+$AA$74-$Z$139-$AA$139)*(L139)</f>
        <v>136.94204908948529</v>
      </c>
      <c r="AF139" s="4" t="s">
        <v>599</v>
      </c>
    </row>
    <row r="140" spans="1:32" ht="11.25" customHeight="1" x14ac:dyDescent="0.3">
      <c r="A140" s="4" t="s">
        <v>21</v>
      </c>
      <c r="B140" s="4" t="s">
        <v>41</v>
      </c>
      <c r="C140" s="4" t="s">
        <v>23</v>
      </c>
      <c r="D140" s="4" t="s">
        <v>42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0</v>
      </c>
      <c r="K140" s="6">
        <v>0</v>
      </c>
      <c r="L140" s="6">
        <v>128.40199999999999</v>
      </c>
      <c r="M140" s="6">
        <v>128.40199999999999</v>
      </c>
      <c r="N140" s="6">
        <v>128.40199999999999</v>
      </c>
      <c r="O140" s="6">
        <v>128.40199999999999</v>
      </c>
      <c r="P140" s="6">
        <v>331</v>
      </c>
      <c r="Q140" s="4" t="s">
        <v>26</v>
      </c>
      <c r="R140" s="4">
        <v>0</v>
      </c>
      <c r="S140" s="4">
        <v>0</v>
      </c>
      <c r="T140" s="4">
        <v>39</v>
      </c>
      <c r="U140" s="4">
        <v>10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406.8</v>
      </c>
      <c r="X140" s="6">
        <f>IF(ISERROR(VLOOKUP($U$140,'TAR FIN'!$A$1:$O$85,15,0)),0,VLOOKUP($U$140,'TAR FIN'!$A$1:$O$85,15,0))</f>
        <v>195</v>
      </c>
      <c r="Y140" s="6"/>
      <c r="Z140" s="6">
        <f ca="1">('TUSD BE'!$AM$33+'TUSD BF'!$AM$33+'TUSD CVA'!$AM$33)*(1-CUSTOS!$M$38)</f>
        <v>456.17471841965244</v>
      </c>
      <c r="AA140" s="6">
        <f>('TE BE'!$AB$24+'TE BF'!$AB$24+'TE CVA'!$AB$24)*(1-CUSTOS!$M$38)</f>
        <v>253.05683058374245</v>
      </c>
      <c r="AB140" s="6">
        <f t="shared" si="16"/>
        <v>0</v>
      </c>
      <c r="AC140" s="6">
        <f>(L140-M140)*(W140+X140)+($W$74+$X$74-$W$140-$X$140)*(L140)</f>
        <v>10537.952139999998</v>
      </c>
      <c r="AD140" s="6">
        <f t="shared" si="17"/>
        <v>0</v>
      </c>
      <c r="AE140" s="6">
        <f ca="1">(L140-M140)*(Z140+AA140)+($Z$74+$AA$74-$Z$140-$AA$140)*(L140)</f>
        <v>5812.7712354340802</v>
      </c>
      <c r="AF140" s="4" t="s">
        <v>599</v>
      </c>
    </row>
    <row r="141" spans="1:32" ht="11.25" customHeight="1" x14ac:dyDescent="0.3">
      <c r="A141" s="4" t="s">
        <v>28</v>
      </c>
      <c r="B141" s="4" t="s">
        <v>41</v>
      </c>
      <c r="C141" s="4" t="s">
        <v>23</v>
      </c>
      <c r="D141" s="4" t="s">
        <v>42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44593</v>
      </c>
      <c r="J141" s="6">
        <v>0</v>
      </c>
      <c r="K141" s="6">
        <v>0</v>
      </c>
      <c r="L141" s="6">
        <v>1.198</v>
      </c>
      <c r="M141" s="6">
        <v>1.198</v>
      </c>
      <c r="N141" s="6">
        <v>1.198</v>
      </c>
      <c r="O141" s="6">
        <v>1.198</v>
      </c>
      <c r="P141" s="6">
        <v>4</v>
      </c>
      <c r="Q141" s="4" t="s">
        <v>26</v>
      </c>
      <c r="R141" s="4">
        <v>0</v>
      </c>
      <c r="S141" s="4">
        <v>0</v>
      </c>
      <c r="T141" s="4">
        <v>39</v>
      </c>
      <c r="U141" s="4">
        <v>10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406.8</v>
      </c>
      <c r="X141" s="6">
        <f>IF(ISERROR(VLOOKUP($U$141,'TAR FIN'!$A$1:$O$85,15,0)),0,VLOOKUP($U$141,'TAR FIN'!$A$1:$O$85,15,0))</f>
        <v>195</v>
      </c>
      <c r="Y141" s="6"/>
      <c r="Z141" s="6">
        <f ca="1">('TUSD BE'!$AM$33+'TUSD BF'!$AM$33+'TUSD CVA'!$AM$33)*(1-CUSTOS!$M$38)</f>
        <v>456.17471841965244</v>
      </c>
      <c r="AA141" s="6">
        <f>('TE BE'!$AB$24+'TE BF'!$AB$24+'TE CVA'!$AB$24)*(1-CUSTOS!$M$38)</f>
        <v>253.05683058374245</v>
      </c>
      <c r="AB141" s="6">
        <f t="shared" si="16"/>
        <v>0</v>
      </c>
      <c r="AC141" s="6">
        <f>(L141-M141)*(W141+X141)+($W$74+$X$74-$W$141-$X$141)*(L141)</f>
        <v>98.319859999999991</v>
      </c>
      <c r="AD141" s="6">
        <f t="shared" si="17"/>
        <v>0</v>
      </c>
      <c r="AE141" s="6">
        <f ca="1">(L141-M141)*(Z141+AA141)+($Z$74+$AA$74-$Z$141-$AA$141)*(L141)</f>
        <v>54.233578449323439</v>
      </c>
      <c r="AF141" s="4" t="s">
        <v>599</v>
      </c>
    </row>
    <row r="142" spans="1:32" ht="11.25" customHeight="1" x14ac:dyDescent="0.3">
      <c r="A142" s="4" t="s">
        <v>28</v>
      </c>
      <c r="B142" s="4" t="s">
        <v>41</v>
      </c>
      <c r="C142" s="4" t="s">
        <v>23</v>
      </c>
      <c r="D142" s="4" t="s">
        <v>42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44593</v>
      </c>
      <c r="J142" s="6">
        <v>0</v>
      </c>
      <c r="K142" s="6">
        <v>0</v>
      </c>
      <c r="L142" s="6">
        <v>-0.82199999999999995</v>
      </c>
      <c r="M142" s="6">
        <v>-0.82199999999999995</v>
      </c>
      <c r="N142" s="6">
        <v>-0.82199999999999995</v>
      </c>
      <c r="O142" s="6">
        <v>-0.82199999999999995</v>
      </c>
      <c r="P142" s="6">
        <v>2</v>
      </c>
      <c r="Q142" s="4" t="s">
        <v>26</v>
      </c>
      <c r="R142" s="4">
        <v>0</v>
      </c>
      <c r="S142" s="4">
        <v>0</v>
      </c>
      <c r="T142" s="4">
        <v>39</v>
      </c>
      <c r="U142" s="4">
        <v>10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406.8</v>
      </c>
      <c r="X142" s="6">
        <f>IF(ISERROR(VLOOKUP($U$142,'TAR FIN'!$A$1:$O$85,15,0)),0,VLOOKUP($U$142,'TAR FIN'!$A$1:$O$85,15,0))</f>
        <v>195</v>
      </c>
      <c r="Y142" s="6"/>
      <c r="Z142" s="6">
        <f ca="1">('TUSD BE'!$AM$33+'TUSD BF'!$AM$33+'TUSD CVA'!$AM$33)*(1-CUSTOS!$M$38)</f>
        <v>456.17471841965244</v>
      </c>
      <c r="AA142" s="6">
        <f>('TE BE'!$AB$24+'TE BF'!$AB$24+'TE CVA'!$AB$24)*(1-CUSTOS!$M$38)</f>
        <v>253.05683058374245</v>
      </c>
      <c r="AB142" s="6">
        <f t="shared" si="16"/>
        <v>0</v>
      </c>
      <c r="AC142" s="6">
        <f>(L142-M142)*(W142+X142)+($W$74+$X$74-$W$142-$X$142)*(L142)</f>
        <v>-67.461539999999985</v>
      </c>
      <c r="AD142" s="6">
        <f t="shared" si="17"/>
        <v>0</v>
      </c>
      <c r="AE142" s="6">
        <f ca="1">(L142-M142)*(Z142+AA142)+($Z$74+$AA$74-$Z$142-$AA$142)*(L142)</f>
        <v>-37.212021273241959</v>
      </c>
      <c r="AF142" s="4" t="s">
        <v>599</v>
      </c>
    </row>
    <row r="143" spans="1:32" ht="11.25" customHeight="1" x14ac:dyDescent="0.3">
      <c r="A143" s="4" t="s">
        <v>21</v>
      </c>
      <c r="B143" s="4" t="s">
        <v>41</v>
      </c>
      <c r="C143" s="4" t="s">
        <v>23</v>
      </c>
      <c r="D143" s="4" t="s">
        <v>42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44621</v>
      </c>
      <c r="J143" s="6">
        <v>0</v>
      </c>
      <c r="K143" s="6">
        <v>0</v>
      </c>
      <c r="L143" s="6">
        <v>132.58600000000001</v>
      </c>
      <c r="M143" s="6">
        <v>132.58600000000001</v>
      </c>
      <c r="N143" s="6">
        <v>132.58600000000001</v>
      </c>
      <c r="O143" s="6">
        <v>132.58600000000001</v>
      </c>
      <c r="P143" s="6">
        <v>332</v>
      </c>
      <c r="Q143" s="4" t="s">
        <v>26</v>
      </c>
      <c r="R143" s="4">
        <v>0</v>
      </c>
      <c r="S143" s="4">
        <v>0</v>
      </c>
      <c r="T143" s="4">
        <v>39</v>
      </c>
      <c r="U143" s="4">
        <v>10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406.8</v>
      </c>
      <c r="X143" s="6">
        <f>IF(ISERROR(VLOOKUP($U$143,'TAR FIN'!$A$1:$O$85,15,0)),0,VLOOKUP($U$143,'TAR FIN'!$A$1:$O$85,15,0))</f>
        <v>195</v>
      </c>
      <c r="Y143" s="6"/>
      <c r="Z143" s="6">
        <f ca="1">('TUSD BE'!$AM$33+'TUSD BF'!$AM$33+'TUSD CVA'!$AM$33)*(1-CUSTOS!$M$38)</f>
        <v>456.17471841965244</v>
      </c>
      <c r="AA143" s="6">
        <f>('TE BE'!$AB$24+'TE BF'!$AB$24+'TE CVA'!$AB$24)*(1-CUSTOS!$M$38)</f>
        <v>253.05683058374245</v>
      </c>
      <c r="AB143" s="6">
        <f t="shared" si="16"/>
        <v>0</v>
      </c>
      <c r="AC143" s="6">
        <f>(L143-M143)*(W143+X143)+($W$74+$X$74-$W$143-$X$143)*(L143)</f>
        <v>10881.33302</v>
      </c>
      <c r="AD143" s="6">
        <f t="shared" si="17"/>
        <v>0</v>
      </c>
      <c r="AE143" s="6">
        <f ca="1">(L143-M143)*(Z143+AA143)+($Z$74+$AA$74-$Z$143-$AA$143)*(L143)</f>
        <v>6002.1813291168601</v>
      </c>
      <c r="AF143" s="4" t="s">
        <v>599</v>
      </c>
    </row>
    <row r="144" spans="1:32" ht="11.25" customHeight="1" x14ac:dyDescent="0.3">
      <c r="A144" s="4" t="s">
        <v>21</v>
      </c>
      <c r="B144" s="4" t="s">
        <v>41</v>
      </c>
      <c r="C144" s="4" t="s">
        <v>23</v>
      </c>
      <c r="D144" s="4" t="s">
        <v>42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0</v>
      </c>
      <c r="K144" s="6">
        <v>0</v>
      </c>
      <c r="L144" s="6">
        <v>122.051</v>
      </c>
      <c r="M144" s="6">
        <v>122.051</v>
      </c>
      <c r="N144" s="6">
        <v>122.051</v>
      </c>
      <c r="O144" s="6">
        <v>122.051</v>
      </c>
      <c r="P144" s="6">
        <v>327</v>
      </c>
      <c r="Q144" s="4" t="s">
        <v>26</v>
      </c>
      <c r="R144" s="4">
        <v>0</v>
      </c>
      <c r="S144" s="4">
        <v>0</v>
      </c>
      <c r="T144" s="4">
        <v>39</v>
      </c>
      <c r="U144" s="4">
        <v>10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406.8</v>
      </c>
      <c r="X144" s="6">
        <f>IF(ISERROR(VLOOKUP($U$144,'TAR FIN'!$A$1:$O$85,15,0)),0,VLOOKUP($U$144,'TAR FIN'!$A$1:$O$85,15,0))</f>
        <v>195</v>
      </c>
      <c r="Y144" s="6"/>
      <c r="Z144" s="6">
        <f ca="1">('TUSD BE'!$AM$33+'TUSD BF'!$AM$33+'TUSD CVA'!$AM$33)*(1-CUSTOS!$M$38)</f>
        <v>456.17471841965244</v>
      </c>
      <c r="AA144" s="6">
        <f>('TE BE'!$AB$24+'TE BF'!$AB$24+'TE CVA'!$AB$24)*(1-CUSTOS!$M$38)</f>
        <v>253.05683058374245</v>
      </c>
      <c r="AB144" s="6">
        <f t="shared" si="16"/>
        <v>0</v>
      </c>
      <c r="AC144" s="6">
        <f>(L144-M144)*(W144+X144)+($W$74+$X$74-$W$144-$X$144)*(L144)</f>
        <v>10016.725569999999</v>
      </c>
      <c r="AD144" s="6">
        <f t="shared" si="17"/>
        <v>0</v>
      </c>
      <c r="AE144" s="6">
        <f ca="1">(L144-M144)*(Z144+AA144)+($Z$74+$AA$74-$Z$144-$AA$144)*(L144)</f>
        <v>5525.2608374944703</v>
      </c>
      <c r="AF144" s="4" t="s">
        <v>599</v>
      </c>
    </row>
    <row r="145" spans="1:32" ht="11.25" customHeight="1" x14ac:dyDescent="0.3">
      <c r="A145" s="4" t="s">
        <v>28</v>
      </c>
      <c r="B145" s="4" t="s">
        <v>41</v>
      </c>
      <c r="C145" s="4" t="s">
        <v>23</v>
      </c>
      <c r="D145" s="4" t="s">
        <v>42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44652</v>
      </c>
      <c r="J145" s="6">
        <v>0</v>
      </c>
      <c r="K145" s="6">
        <v>0</v>
      </c>
      <c r="L145" s="6">
        <v>3.11</v>
      </c>
      <c r="M145" s="6">
        <v>3.11</v>
      </c>
      <c r="N145" s="6">
        <v>3.11</v>
      </c>
      <c r="O145" s="6">
        <v>3.11</v>
      </c>
      <c r="P145" s="6">
        <v>6</v>
      </c>
      <c r="Q145" s="4" t="s">
        <v>26</v>
      </c>
      <c r="R145" s="4">
        <v>0</v>
      </c>
      <c r="S145" s="4">
        <v>0</v>
      </c>
      <c r="T145" s="4">
        <v>39</v>
      </c>
      <c r="U145" s="4">
        <v>10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406.8</v>
      </c>
      <c r="X145" s="6">
        <f>IF(ISERROR(VLOOKUP($U$145,'TAR FIN'!$A$1:$O$85,15,0)),0,VLOOKUP($U$145,'TAR FIN'!$A$1:$O$85,15,0))</f>
        <v>195</v>
      </c>
      <c r="Y145" s="6"/>
      <c r="Z145" s="6">
        <f ca="1">('TUSD BE'!$AM$33+'TUSD BF'!$AM$33+'TUSD CVA'!$AM$33)*(1-CUSTOS!$M$38)</f>
        <v>456.17471841965244</v>
      </c>
      <c r="AA145" s="6">
        <f>('TE BE'!$AB$24+'TE BF'!$AB$24+'TE CVA'!$AB$24)*(1-CUSTOS!$M$38)</f>
        <v>253.05683058374245</v>
      </c>
      <c r="AB145" s="6">
        <f t="shared" si="16"/>
        <v>0</v>
      </c>
      <c r="AC145" s="6">
        <f>(L145-M145)*(W145+X145)+($W$74+$X$74-$W$145-$X$145)*(L145)</f>
        <v>255.23769999999996</v>
      </c>
      <c r="AD145" s="6">
        <f t="shared" si="17"/>
        <v>0</v>
      </c>
      <c r="AE145" s="6">
        <f ca="1">(L145-M145)*(Z145+AA145)+($Z$74+$AA$74-$Z$145-$AA$145)*(L145)</f>
        <v>140.79000749365267</v>
      </c>
      <c r="AF145" s="4" t="s">
        <v>599</v>
      </c>
    </row>
    <row r="146" spans="1:32" ht="11.25" customHeight="1" x14ac:dyDescent="0.3">
      <c r="A146" s="4" t="s">
        <v>21</v>
      </c>
      <c r="B146" s="4" t="s">
        <v>41</v>
      </c>
      <c r="C146" s="4" t="s">
        <v>23</v>
      </c>
      <c r="D146" s="4" t="s">
        <v>42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44682</v>
      </c>
      <c r="J146" s="6">
        <v>0</v>
      </c>
      <c r="K146" s="6">
        <v>0</v>
      </c>
      <c r="L146" s="6">
        <v>112.93300000000001</v>
      </c>
      <c r="M146" s="6">
        <v>112.93300000000001</v>
      </c>
      <c r="N146" s="6">
        <v>112.93300000000001</v>
      </c>
      <c r="O146" s="6">
        <v>112.93300000000001</v>
      </c>
      <c r="P146" s="6">
        <v>330</v>
      </c>
      <c r="Q146" s="4" t="s">
        <v>26</v>
      </c>
      <c r="R146" s="4">
        <v>0</v>
      </c>
      <c r="S146" s="4">
        <v>0</v>
      </c>
      <c r="T146" s="4">
        <v>39</v>
      </c>
      <c r="U146" s="4">
        <v>10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406.8</v>
      </c>
      <c r="X146" s="6">
        <f>IF(ISERROR(VLOOKUP($U$146,'TAR FIN'!$A$1:$O$85,15,0)),0,VLOOKUP($U$146,'TAR FIN'!$A$1:$O$85,15,0))</f>
        <v>195</v>
      </c>
      <c r="Y146" s="6"/>
      <c r="Z146" s="6">
        <f ca="1">('TUSD BE'!$AM$33+'TUSD BF'!$AM$33+'TUSD CVA'!$AM$33)*(1-CUSTOS!$M$38)</f>
        <v>456.17471841965244</v>
      </c>
      <c r="AA146" s="6">
        <f>('TE BE'!$AB$24+'TE BF'!$AB$24+'TE CVA'!$AB$24)*(1-CUSTOS!$M$38)</f>
        <v>253.05683058374245</v>
      </c>
      <c r="AB146" s="6">
        <f t="shared" si="16"/>
        <v>0</v>
      </c>
      <c r="AC146" s="6">
        <f>(L146-M146)*(W146+X146)+($W$74+$X$74-$W$146-$X$146)*(L146)</f>
        <v>9268.4113099999995</v>
      </c>
      <c r="AD146" s="6">
        <f t="shared" si="17"/>
        <v>0</v>
      </c>
      <c r="AE146" s="6">
        <f ca="1">(L146-M146)*(Z146+AA146)+($Z$74+$AA$74-$Z$146-$AA$146)*(L146)</f>
        <v>5112.4880759744947</v>
      </c>
      <c r="AF146" s="4" t="s">
        <v>599</v>
      </c>
    </row>
    <row r="147" spans="1:32" ht="11.25" customHeight="1" x14ac:dyDescent="0.3">
      <c r="A147" s="4" t="s">
        <v>27</v>
      </c>
      <c r="B147" s="4" t="s">
        <v>41</v>
      </c>
      <c r="C147" s="4" t="s">
        <v>23</v>
      </c>
      <c r="D147" s="4" t="s">
        <v>42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44682</v>
      </c>
      <c r="J147" s="6">
        <v>0</v>
      </c>
      <c r="K147" s="6">
        <v>0</v>
      </c>
      <c r="L147" s="6">
        <v>2.222</v>
      </c>
      <c r="M147" s="6">
        <v>2.222</v>
      </c>
      <c r="N147" s="6">
        <v>2.222</v>
      </c>
      <c r="O147" s="6">
        <v>2.222</v>
      </c>
      <c r="P147" s="6">
        <v>0</v>
      </c>
      <c r="Q147" s="4" t="s">
        <v>26</v>
      </c>
      <c r="R147" s="4">
        <v>0</v>
      </c>
      <c r="S147" s="4">
        <v>0</v>
      </c>
      <c r="T147" s="4">
        <v>39</v>
      </c>
      <c r="U147" s="4">
        <v>10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406.8</v>
      </c>
      <c r="X147" s="6">
        <f>IF(ISERROR(VLOOKUP($U$147,'TAR FIN'!$A$1:$O$85,15,0)),0,VLOOKUP($U$147,'TAR FIN'!$A$1:$O$85,15,0))</f>
        <v>195</v>
      </c>
      <c r="Y147" s="6"/>
      <c r="Z147" s="6">
        <f ca="1">('TUSD BE'!$AM$33+'TUSD BF'!$AM$33+'TUSD CVA'!$AM$33)*(1-CUSTOS!$M$38)</f>
        <v>456.17471841965244</v>
      </c>
      <c r="AA147" s="6">
        <f>('TE BE'!$AB$24+'TE BF'!$AB$24+'TE CVA'!$AB$24)*(1-CUSTOS!$M$38)</f>
        <v>253.05683058374245</v>
      </c>
      <c r="AB147" s="6">
        <f t="shared" si="16"/>
        <v>0</v>
      </c>
      <c r="AC147" s="6">
        <f>(L147-M147)*(W147+X147)+($W$74+$X$74-$W$147-$X$147)*(L147)</f>
        <v>182.35953999999998</v>
      </c>
      <c r="AD147" s="6">
        <f t="shared" si="17"/>
        <v>0</v>
      </c>
      <c r="AE147" s="6">
        <f ca="1">(L147-M147)*(Z147+AA147)+($Z$74+$AA$74-$Z$147-$AA$147)*(L147)</f>
        <v>100.59015969482193</v>
      </c>
      <c r="AF147" s="4" t="s">
        <v>599</v>
      </c>
    </row>
    <row r="148" spans="1:32" ht="11.25" customHeight="1" x14ac:dyDescent="0.3">
      <c r="A148" s="4" t="s">
        <v>28</v>
      </c>
      <c r="B148" s="4" t="s">
        <v>41</v>
      </c>
      <c r="C148" s="4" t="s">
        <v>23</v>
      </c>
      <c r="D148" s="4" t="s">
        <v>42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44682</v>
      </c>
      <c r="J148" s="6">
        <v>0</v>
      </c>
      <c r="K148" s="6">
        <v>0</v>
      </c>
      <c r="L148" s="6">
        <v>2.544</v>
      </c>
      <c r="M148" s="6">
        <v>2.544</v>
      </c>
      <c r="N148" s="6">
        <v>2.544</v>
      </c>
      <c r="O148" s="6">
        <v>2.544</v>
      </c>
      <c r="P148" s="6">
        <v>6</v>
      </c>
      <c r="Q148" s="4" t="s">
        <v>26</v>
      </c>
      <c r="R148" s="4">
        <v>0</v>
      </c>
      <c r="S148" s="4">
        <v>0</v>
      </c>
      <c r="T148" s="4">
        <v>39</v>
      </c>
      <c r="U148" s="4">
        <v>10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406.8</v>
      </c>
      <c r="X148" s="6">
        <f>IF(ISERROR(VLOOKUP($U$148,'TAR FIN'!$A$1:$O$85,15,0)),0,VLOOKUP($U$148,'TAR FIN'!$A$1:$O$85,15,0))</f>
        <v>195</v>
      </c>
      <c r="Y148" s="6"/>
      <c r="Z148" s="6">
        <f ca="1">('TUSD BE'!$AM$33+'TUSD BF'!$AM$33+'TUSD CVA'!$AM$33)*(1-CUSTOS!$M$38)</f>
        <v>456.17471841965244</v>
      </c>
      <c r="AA148" s="6">
        <f>('TE BE'!$AB$24+'TE BF'!$AB$24+'TE CVA'!$AB$24)*(1-CUSTOS!$M$38)</f>
        <v>253.05683058374245</v>
      </c>
      <c r="AB148" s="6">
        <f t="shared" si="16"/>
        <v>0</v>
      </c>
      <c r="AC148" s="6">
        <f>(L148-M148)*(W148+X148)+($W$74+$X$74-$W$148-$X$148)*(L148)</f>
        <v>208.78608</v>
      </c>
      <c r="AD148" s="6">
        <f t="shared" si="17"/>
        <v>0</v>
      </c>
      <c r="AE148" s="6">
        <f ca="1">(L148-M148)*(Z148+AA148)+($Z$74+$AA$74-$Z$148-$AA$148)*(L148)</f>
        <v>115.16713153178533</v>
      </c>
      <c r="AF148" s="4" t="s">
        <v>599</v>
      </c>
    </row>
    <row r="149" spans="1:32" ht="11.25" customHeight="1" x14ac:dyDescent="0.3">
      <c r="A149" s="4" t="s">
        <v>21</v>
      </c>
      <c r="B149" s="4" t="s">
        <v>41</v>
      </c>
      <c r="C149" s="4" t="s">
        <v>23</v>
      </c>
      <c r="D149" s="4" t="s">
        <v>42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44713</v>
      </c>
      <c r="J149" s="6">
        <v>0</v>
      </c>
      <c r="K149" s="6">
        <v>0</v>
      </c>
      <c r="L149" s="6">
        <v>94.849000000000004</v>
      </c>
      <c r="M149" s="6">
        <v>94.849000000000004</v>
      </c>
      <c r="N149" s="6">
        <v>94.849000000000004</v>
      </c>
      <c r="O149" s="6">
        <v>94.849000000000004</v>
      </c>
      <c r="P149" s="6">
        <v>325</v>
      </c>
      <c r="Q149" s="4" t="s">
        <v>26</v>
      </c>
      <c r="R149" s="4">
        <v>0</v>
      </c>
      <c r="S149" s="4">
        <v>0</v>
      </c>
      <c r="T149" s="4">
        <v>39</v>
      </c>
      <c r="U149" s="4">
        <v>10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406.8</v>
      </c>
      <c r="X149" s="6">
        <f>IF(ISERROR(VLOOKUP($U$149,'TAR FIN'!$A$1:$O$85,15,0)),0,VLOOKUP($U$149,'TAR FIN'!$A$1:$O$85,15,0))</f>
        <v>195</v>
      </c>
      <c r="Y149" s="6"/>
      <c r="Z149" s="6">
        <f ca="1">('TUSD BE'!$AM$33+'TUSD BF'!$AM$33+'TUSD CVA'!$AM$33)*(1-CUSTOS!$M$38)</f>
        <v>456.17471841965244</v>
      </c>
      <c r="AA149" s="6">
        <f>('TE BE'!$AB$24+'TE BF'!$AB$24+'TE CVA'!$AB$24)*(1-CUSTOS!$M$38)</f>
        <v>253.05683058374245</v>
      </c>
      <c r="AB149" s="6">
        <f t="shared" si="16"/>
        <v>0</v>
      </c>
      <c r="AC149" s="6">
        <f>(L149-M149)*(W149+X149)+($W$74+$X$74-$W$149-$X$149)*(L149)</f>
        <v>7784.2574299999997</v>
      </c>
      <c r="AD149" s="6">
        <f t="shared" si="17"/>
        <v>0</v>
      </c>
      <c r="AE149" s="6">
        <f ca="1">(L149-M149)*(Z149+AA149)+($Z$74+$AA$74-$Z$149-$AA$149)*(L149)</f>
        <v>4293.8236079631715</v>
      </c>
      <c r="AF149" s="4" t="s">
        <v>599</v>
      </c>
    </row>
    <row r="150" spans="1:32" ht="11.25" customHeight="1" x14ac:dyDescent="0.3">
      <c r="A150" s="4" t="s">
        <v>27</v>
      </c>
      <c r="B150" s="4" t="s">
        <v>41</v>
      </c>
      <c r="C150" s="4" t="s">
        <v>23</v>
      </c>
      <c r="D150" s="4" t="s">
        <v>42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44713</v>
      </c>
      <c r="J150" s="6">
        <v>0</v>
      </c>
      <c r="K150" s="6">
        <v>0</v>
      </c>
      <c r="L150" s="6">
        <v>-0.58599999999999997</v>
      </c>
      <c r="M150" s="6">
        <v>-0.58599999999999997</v>
      </c>
      <c r="N150" s="6">
        <v>-0.58599999999999997</v>
      </c>
      <c r="O150" s="6">
        <v>-0.58599999999999997</v>
      </c>
      <c r="P150" s="6">
        <v>0</v>
      </c>
      <c r="Q150" s="4" t="s">
        <v>26</v>
      </c>
      <c r="R150" s="4">
        <v>0</v>
      </c>
      <c r="S150" s="4">
        <v>0</v>
      </c>
      <c r="T150" s="4">
        <v>39</v>
      </c>
      <c r="U150" s="4">
        <v>10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406.8</v>
      </c>
      <c r="X150" s="6">
        <f>IF(ISERROR(VLOOKUP($U$150,'TAR FIN'!$A$1:$O$85,15,0)),0,VLOOKUP($U$150,'TAR FIN'!$A$1:$O$85,15,0))</f>
        <v>195</v>
      </c>
      <c r="Y150" s="6"/>
      <c r="Z150" s="6">
        <f ca="1">('TUSD BE'!$AM$33+'TUSD BF'!$AM$33+'TUSD CVA'!$AM$33)*(1-CUSTOS!$M$38)</f>
        <v>456.17471841965244</v>
      </c>
      <c r="AA150" s="6">
        <f>('TE BE'!$AB$24+'TE BF'!$AB$24+'TE CVA'!$AB$24)*(1-CUSTOS!$M$38)</f>
        <v>253.05683058374245</v>
      </c>
      <c r="AB150" s="6">
        <f t="shared" si="16"/>
        <v>0</v>
      </c>
      <c r="AC150" s="6">
        <f>(L150-M150)*(W150+X150)+($W$74+$X$74-$W$150-$X$150)*(L150)</f>
        <v>-48.093019999999996</v>
      </c>
      <c r="AD150" s="6">
        <f t="shared" si="17"/>
        <v>0</v>
      </c>
      <c r="AE150" s="6">
        <f ca="1">(L150-M150)*(Z150+AA150)+($Z$74+$AA$74-$Z$150-$AA$150)*(L150)</f>
        <v>-26.528277939318475</v>
      </c>
      <c r="AF150" s="4" t="s">
        <v>599</v>
      </c>
    </row>
    <row r="151" spans="1:32" ht="11.25" customHeight="1" x14ac:dyDescent="0.3">
      <c r="A151" s="4" t="s">
        <v>28</v>
      </c>
      <c r="B151" s="4" t="s">
        <v>41</v>
      </c>
      <c r="C151" s="4" t="s">
        <v>23</v>
      </c>
      <c r="D151" s="4" t="s">
        <v>42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44713</v>
      </c>
      <c r="J151" s="6">
        <v>0</v>
      </c>
      <c r="K151" s="6">
        <v>0</v>
      </c>
      <c r="L151" s="6">
        <v>1.64</v>
      </c>
      <c r="M151" s="6">
        <v>1.64</v>
      </c>
      <c r="N151" s="6">
        <v>1.64</v>
      </c>
      <c r="O151" s="6">
        <v>1.64</v>
      </c>
      <c r="P151" s="6">
        <v>5</v>
      </c>
      <c r="Q151" s="4" t="s">
        <v>26</v>
      </c>
      <c r="R151" s="4">
        <v>0</v>
      </c>
      <c r="S151" s="4">
        <v>0</v>
      </c>
      <c r="T151" s="4">
        <v>39</v>
      </c>
      <c r="U151" s="4">
        <v>10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406.8</v>
      </c>
      <c r="X151" s="6">
        <f>IF(ISERROR(VLOOKUP($U$151,'TAR FIN'!$A$1:$O$85,15,0)),0,VLOOKUP($U$151,'TAR FIN'!$A$1:$O$85,15,0))</f>
        <v>195</v>
      </c>
      <c r="Y151" s="6"/>
      <c r="Z151" s="6">
        <f ca="1">('TUSD BE'!$AM$33+'TUSD BF'!$AM$33+'TUSD CVA'!$AM$33)*(1-CUSTOS!$M$38)</f>
        <v>456.17471841965244</v>
      </c>
      <c r="AA151" s="6">
        <f>('TE BE'!$AB$24+'TE BF'!$AB$24+'TE CVA'!$AB$24)*(1-CUSTOS!$M$38)</f>
        <v>253.05683058374245</v>
      </c>
      <c r="AB151" s="6">
        <f t="shared" si="16"/>
        <v>0</v>
      </c>
      <c r="AC151" s="6">
        <f>(L151-M151)*(W151+X151)+($W$74+$X$74-$W$151-$X$151)*(L151)</f>
        <v>134.59479999999999</v>
      </c>
      <c r="AD151" s="6">
        <f t="shared" si="17"/>
        <v>0</v>
      </c>
      <c r="AE151" s="6">
        <f ca="1">(L151-M151)*(Z151+AA151)+($Z$74+$AA$74-$Z$151-$AA$151)*(L151)</f>
        <v>74.242962150993691</v>
      </c>
      <c r="AF151" s="4" t="s">
        <v>599</v>
      </c>
    </row>
    <row r="152" spans="1:32" ht="11.25" customHeight="1" x14ac:dyDescent="0.3">
      <c r="A152" s="4" t="s">
        <v>21</v>
      </c>
      <c r="B152" s="4" t="s">
        <v>41</v>
      </c>
      <c r="C152" s="4" t="s">
        <v>23</v>
      </c>
      <c r="D152" s="4" t="s">
        <v>42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44743</v>
      </c>
      <c r="J152" s="6">
        <v>0</v>
      </c>
      <c r="K152" s="6">
        <v>0</v>
      </c>
      <c r="L152" s="6">
        <v>99.789000000000001</v>
      </c>
      <c r="M152" s="6">
        <v>99.789000000000001</v>
      </c>
      <c r="N152" s="6">
        <v>99.789000000000001</v>
      </c>
      <c r="O152" s="6">
        <v>99.789000000000001</v>
      </c>
      <c r="P152" s="6">
        <v>321</v>
      </c>
      <c r="Q152" s="4" t="s">
        <v>26</v>
      </c>
      <c r="R152" s="4">
        <v>0</v>
      </c>
      <c r="S152" s="4">
        <v>0</v>
      </c>
      <c r="T152" s="4">
        <v>39</v>
      </c>
      <c r="U152" s="4">
        <v>10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406.8</v>
      </c>
      <c r="X152" s="6">
        <f>IF(ISERROR(VLOOKUP($U$152,'TAR FIN'!$A$1:$O$85,15,0)),0,VLOOKUP($U$152,'TAR FIN'!$A$1:$O$85,15,0))</f>
        <v>195</v>
      </c>
      <c r="Y152" s="6"/>
      <c r="Z152" s="6">
        <f ca="1">('TUSD BE'!$AM$33+'TUSD BF'!$AM$33+'TUSD CVA'!$AM$33)*(1-CUSTOS!$M$38)</f>
        <v>456.17471841965244</v>
      </c>
      <c r="AA152" s="6">
        <f>('TE BE'!$AB$24+'TE BF'!$AB$24+'TE CVA'!$AB$24)*(1-CUSTOS!$M$38)</f>
        <v>253.05683058374245</v>
      </c>
      <c r="AB152" s="6">
        <f t="shared" si="16"/>
        <v>0</v>
      </c>
      <c r="AC152" s="6">
        <f>(L152-M152)*(W152+X152)+($W$74+$X$74-$W$152-$X$152)*(L152)</f>
        <v>8189.6832299999996</v>
      </c>
      <c r="AD152" s="6">
        <f t="shared" si="17"/>
        <v>0</v>
      </c>
      <c r="AE152" s="6">
        <f ca="1">(L152-M152)*(Z152+AA152)+($Z$74+$AA$74-$Z$152-$AA$152)*(L152)</f>
        <v>4517.4578963936037</v>
      </c>
      <c r="AF152" s="4" t="s">
        <v>599</v>
      </c>
    </row>
    <row r="153" spans="1:32" ht="11.25" customHeight="1" x14ac:dyDescent="0.3">
      <c r="A153" s="4" t="s">
        <v>28</v>
      </c>
      <c r="B153" s="4" t="s">
        <v>41</v>
      </c>
      <c r="C153" s="4" t="s">
        <v>23</v>
      </c>
      <c r="D153" s="4" t="s">
        <v>42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44743</v>
      </c>
      <c r="J153" s="6">
        <v>0</v>
      </c>
      <c r="K153" s="6">
        <v>0</v>
      </c>
      <c r="L153" s="6">
        <v>1.3460000000000001</v>
      </c>
      <c r="M153" s="6">
        <v>1.3460000000000001</v>
      </c>
      <c r="N153" s="6">
        <v>1.3460000000000001</v>
      </c>
      <c r="O153" s="6">
        <v>1.3460000000000001</v>
      </c>
      <c r="P153" s="6">
        <v>6</v>
      </c>
      <c r="Q153" s="4" t="s">
        <v>26</v>
      </c>
      <c r="R153" s="4">
        <v>0</v>
      </c>
      <c r="S153" s="4">
        <v>0</v>
      </c>
      <c r="T153" s="4">
        <v>39</v>
      </c>
      <c r="U153" s="4">
        <v>10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406.8</v>
      </c>
      <c r="X153" s="6">
        <f>IF(ISERROR(VLOOKUP($U$153,'TAR FIN'!$A$1:$O$85,15,0)),0,VLOOKUP($U$153,'TAR FIN'!$A$1:$O$85,15,0))</f>
        <v>195</v>
      </c>
      <c r="Y153" s="6"/>
      <c r="Z153" s="6">
        <f ca="1">('TUSD BE'!$AM$33+'TUSD BF'!$AM$33+'TUSD CVA'!$AM$33)*(1-CUSTOS!$M$38)</f>
        <v>456.17471841965244</v>
      </c>
      <c r="AA153" s="6">
        <f>('TE BE'!$AB$24+'TE BF'!$AB$24+'TE CVA'!$AB$24)*(1-CUSTOS!$M$38)</f>
        <v>253.05683058374245</v>
      </c>
      <c r="AB153" s="6">
        <f t="shared" si="16"/>
        <v>0</v>
      </c>
      <c r="AC153" s="6">
        <f>(L153-M153)*(W153+X153)+($W$74+$X$74-$W$153-$X$153)*(L153)</f>
        <v>110.46621999999999</v>
      </c>
      <c r="AD153" s="6">
        <f t="shared" si="17"/>
        <v>0</v>
      </c>
      <c r="AE153" s="6">
        <f ca="1">(L153-M153)*(Z153+AA153)+($Z$74+$AA$74-$Z$153-$AA$153)*(L153)</f>
        <v>60.933553082461898</v>
      </c>
      <c r="AF153" s="4" t="s">
        <v>599</v>
      </c>
    </row>
    <row r="154" spans="1:32" ht="11.25" customHeight="1" x14ac:dyDescent="0.3">
      <c r="A154" s="4" t="s">
        <v>21</v>
      </c>
      <c r="B154" s="4" t="s">
        <v>41</v>
      </c>
      <c r="C154" s="4" t="s">
        <v>23</v>
      </c>
      <c r="D154" s="4" t="s">
        <v>42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44774</v>
      </c>
      <c r="J154" s="6">
        <v>0</v>
      </c>
      <c r="K154" s="6">
        <v>0</v>
      </c>
      <c r="L154" s="6">
        <v>102.925</v>
      </c>
      <c r="M154" s="6">
        <v>102.925</v>
      </c>
      <c r="N154" s="6">
        <v>102.925</v>
      </c>
      <c r="O154" s="6">
        <v>102.925</v>
      </c>
      <c r="P154" s="6">
        <v>320</v>
      </c>
      <c r="Q154" s="4" t="s">
        <v>26</v>
      </c>
      <c r="R154" s="4">
        <v>0</v>
      </c>
      <c r="S154" s="4">
        <v>0</v>
      </c>
      <c r="T154" s="4">
        <v>39</v>
      </c>
      <c r="U154" s="4">
        <v>10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406.8</v>
      </c>
      <c r="X154" s="6">
        <f>IF(ISERROR(VLOOKUP($U$154,'TAR FIN'!$A$1:$O$85,15,0)),0,VLOOKUP($U$154,'TAR FIN'!$A$1:$O$85,15,0))</f>
        <v>195</v>
      </c>
      <c r="Y154" s="6"/>
      <c r="Z154" s="6">
        <f ca="1">('TUSD BE'!$AM$33+'TUSD BF'!$AM$33+'TUSD CVA'!$AM$33)*(1-CUSTOS!$M$38)</f>
        <v>456.17471841965244</v>
      </c>
      <c r="AA154" s="6">
        <f>('TE BE'!$AB$24+'TE BF'!$AB$24+'TE CVA'!$AB$24)*(1-CUSTOS!$M$38)</f>
        <v>253.05683058374245</v>
      </c>
      <c r="AB154" s="6">
        <f t="shared" si="16"/>
        <v>0</v>
      </c>
      <c r="AC154" s="6">
        <f>(L154-M154)*(W154+X154)+($W$74+$X$74-$W$154-$X$154)*(L154)</f>
        <v>8447.0547499999993</v>
      </c>
      <c r="AD154" s="6">
        <f t="shared" si="17"/>
        <v>0</v>
      </c>
      <c r="AE154" s="6">
        <f ca="1">(L154-M154)*(Z154+AA154)+($Z$74+$AA$74-$Z$154-$AA$154)*(L154)</f>
        <v>4659.4249264579421</v>
      </c>
      <c r="AF154" s="4" t="s">
        <v>599</v>
      </c>
    </row>
    <row r="155" spans="1:32" ht="11.25" customHeight="1" x14ac:dyDescent="0.3">
      <c r="A155" s="4" t="s">
        <v>27</v>
      </c>
      <c r="B155" s="4" t="s">
        <v>41</v>
      </c>
      <c r="C155" s="4" t="s">
        <v>23</v>
      </c>
      <c r="D155" s="4" t="s">
        <v>42</v>
      </c>
      <c r="E155" s="4" t="s">
        <v>25</v>
      </c>
      <c r="F155" s="4" t="s">
        <v>25</v>
      </c>
      <c r="G155" s="4" t="s">
        <v>25</v>
      </c>
      <c r="H155" s="4" t="s">
        <v>25</v>
      </c>
      <c r="I155" s="5">
        <v>44774</v>
      </c>
      <c r="J155" s="6">
        <v>0</v>
      </c>
      <c r="K155" s="6">
        <v>0</v>
      </c>
      <c r="L155" s="6">
        <v>-8.0000000000000002E-3</v>
      </c>
      <c r="M155" s="6">
        <v>-8.0000000000000002E-3</v>
      </c>
      <c r="N155" s="6">
        <v>-8.0000000000000002E-3</v>
      </c>
      <c r="O155" s="6">
        <v>-8.0000000000000002E-3</v>
      </c>
      <c r="P155" s="6">
        <v>0</v>
      </c>
      <c r="Q155" s="4" t="s">
        <v>26</v>
      </c>
      <c r="R155" s="4">
        <v>0</v>
      </c>
      <c r="S155" s="4">
        <v>0</v>
      </c>
      <c r="T155" s="4">
        <v>39</v>
      </c>
      <c r="U155" s="4">
        <v>10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406.8</v>
      </c>
      <c r="X155" s="6">
        <f>IF(ISERROR(VLOOKUP($U$155,'TAR FIN'!$A$1:$O$85,15,0)),0,VLOOKUP($U$155,'TAR FIN'!$A$1:$O$85,15,0))</f>
        <v>195</v>
      </c>
      <c r="Y155" s="6"/>
      <c r="Z155" s="6">
        <f ca="1">('TUSD BE'!$AM$33+'TUSD BF'!$AM$33+'TUSD CVA'!$AM$33)*(1-CUSTOS!$M$38)</f>
        <v>456.17471841965244</v>
      </c>
      <c r="AA155" s="6">
        <f>('TE BE'!$AB$24+'TE BF'!$AB$24+'TE CVA'!$AB$24)*(1-CUSTOS!$M$38)</f>
        <v>253.05683058374245</v>
      </c>
      <c r="AB155" s="6">
        <f t="shared" si="16"/>
        <v>0</v>
      </c>
      <c r="AC155" s="6">
        <f>(L155-M155)*(W155+X155)+($W$74+$X$74-$W$155-$X$155)*(L155)</f>
        <v>-0.65655999999999992</v>
      </c>
      <c r="AD155" s="6">
        <f t="shared" si="17"/>
        <v>0</v>
      </c>
      <c r="AE155" s="6">
        <f ca="1">(L155-M155)*(Z155+AA155)+($Z$74+$AA$74-$Z$155-$AA$155)*(L155)</f>
        <v>-0.362160790980457</v>
      </c>
      <c r="AF155" s="4" t="s">
        <v>599</v>
      </c>
    </row>
    <row r="156" spans="1:32" ht="11.25" customHeight="1" x14ac:dyDescent="0.3">
      <c r="A156" s="4" t="s">
        <v>28</v>
      </c>
      <c r="B156" s="4" t="s">
        <v>41</v>
      </c>
      <c r="C156" s="4" t="s">
        <v>23</v>
      </c>
      <c r="D156" s="4" t="s">
        <v>42</v>
      </c>
      <c r="E156" s="4" t="s">
        <v>25</v>
      </c>
      <c r="F156" s="4" t="s">
        <v>25</v>
      </c>
      <c r="G156" s="4" t="s">
        <v>25</v>
      </c>
      <c r="H156" s="4" t="s">
        <v>25</v>
      </c>
      <c r="I156" s="5">
        <v>44774</v>
      </c>
      <c r="J156" s="6">
        <v>0</v>
      </c>
      <c r="K156" s="6">
        <v>0</v>
      </c>
      <c r="L156" s="6">
        <v>1.403</v>
      </c>
      <c r="M156" s="6">
        <v>1.403</v>
      </c>
      <c r="N156" s="6">
        <v>1.403</v>
      </c>
      <c r="O156" s="6">
        <v>1.403</v>
      </c>
      <c r="P156" s="6">
        <v>6</v>
      </c>
      <c r="Q156" s="4" t="s">
        <v>26</v>
      </c>
      <c r="R156" s="4">
        <v>0</v>
      </c>
      <c r="S156" s="4">
        <v>0</v>
      </c>
      <c r="T156" s="4">
        <v>39</v>
      </c>
      <c r="U156" s="4">
        <v>10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406.8</v>
      </c>
      <c r="X156" s="6">
        <f>IF(ISERROR(VLOOKUP($U$156,'TAR FIN'!$A$1:$O$85,15,0)),0,VLOOKUP($U$156,'TAR FIN'!$A$1:$O$85,15,0))</f>
        <v>195</v>
      </c>
      <c r="Y156" s="6"/>
      <c r="Z156" s="6">
        <f ca="1">('TUSD BE'!$AM$33+'TUSD BF'!$AM$33+'TUSD CVA'!$AM$33)*(1-CUSTOS!$M$38)</f>
        <v>456.17471841965244</v>
      </c>
      <c r="AA156" s="6">
        <f>('TE BE'!$AB$24+'TE BF'!$AB$24+'TE CVA'!$AB$24)*(1-CUSTOS!$M$38)</f>
        <v>253.05683058374245</v>
      </c>
      <c r="AB156" s="6">
        <f t="shared" si="16"/>
        <v>0</v>
      </c>
      <c r="AC156" s="6">
        <f>(L156-M156)*(W156+X156)+($W$74+$X$74-$W$156-$X$156)*(L156)</f>
        <v>115.14420999999999</v>
      </c>
      <c r="AD156" s="6">
        <f t="shared" si="17"/>
        <v>0</v>
      </c>
      <c r="AE156" s="6">
        <f ca="1">(L156-M156)*(Z156+AA156)+($Z$74+$AA$74-$Z$156-$AA$156)*(L156)</f>
        <v>63.513948718197653</v>
      </c>
      <c r="AF156" s="4" t="s">
        <v>599</v>
      </c>
    </row>
    <row r="157" spans="1:32" ht="11.25" customHeight="1" x14ac:dyDescent="0.3">
      <c r="A157" s="4" t="s">
        <v>21</v>
      </c>
      <c r="B157" s="4" t="s">
        <v>36</v>
      </c>
      <c r="C157" s="4" t="s">
        <v>23</v>
      </c>
      <c r="D157" s="4" t="s">
        <v>47</v>
      </c>
      <c r="E157" s="4" t="s">
        <v>48</v>
      </c>
      <c r="F157" s="4" t="s">
        <v>25</v>
      </c>
      <c r="G157" s="4" t="s">
        <v>25</v>
      </c>
      <c r="H157" s="4" t="s">
        <v>25</v>
      </c>
      <c r="I157" s="5">
        <v>44440</v>
      </c>
      <c r="J157" s="6">
        <v>0</v>
      </c>
      <c r="K157" s="52">
        <v>0</v>
      </c>
      <c r="L157" s="6">
        <v>25.248000000000001</v>
      </c>
      <c r="M157" s="52">
        <v>25.248000000000001</v>
      </c>
      <c r="N157" s="6">
        <v>25.248000000000001</v>
      </c>
      <c r="O157" s="52">
        <v>25.248000000000001</v>
      </c>
      <c r="P157" s="6">
        <v>6</v>
      </c>
      <c r="Q157" s="4" t="s">
        <v>26</v>
      </c>
      <c r="R157" s="4">
        <v>0</v>
      </c>
      <c r="S157" s="4">
        <v>0</v>
      </c>
      <c r="T157" s="4">
        <v>61</v>
      </c>
      <c r="U157" s="4">
        <v>2</v>
      </c>
      <c r="V157" s="52">
        <f>IF(ISERROR(VLOOKUP($S$157,'TAR FIN'!$A$1:$O$85,15,0)),0,VLOOKUP($S$157,'TAR FIN'!$A$1:$O$85,15,0))</f>
        <v>0</v>
      </c>
      <c r="W157" s="52">
        <f>IF(ISERROR(VLOOKUP($T$157,'TAR FIN'!$A$1:$O$85,15,0)),0,VLOOKUP($T$157,'TAR FIN'!$A$1:$O$85,15,0))*(1-0.06)</f>
        <v>434.53379999999999</v>
      </c>
      <c r="X157" s="52">
        <f>IF(ISERROR(VLOOKUP($U$157,'TAR FIN'!$A$1:$O$85,15,0)),0,VLOOKUP($U$157,'TAR FIN'!$A$1:$O$85,15,0))*(1-0.06)</f>
        <v>208.30399999999997</v>
      </c>
      <c r="Y157" s="52"/>
      <c r="Z157" s="52">
        <f ca="1">('TUSD BE'!$AM$48+'TUSD BF'!$AM$48+'TUSD CVA'!$AM$48)*1*(1-0.03)</f>
        <v>470.73348602879025</v>
      </c>
      <c r="AA157" s="52">
        <f>('TE BE'!$AB$39+'TE BF'!$AB$39+'TE CVA'!$AB$39)*1*(1-0.03)</f>
        <v>261.13311241088314</v>
      </c>
      <c r="AB157" s="52">
        <f>(SUBSIDIO!$J$157*SUBSIDIO!$V$157)*(0.06)/(1-0.06)</f>
        <v>0</v>
      </c>
      <c r="AC157" s="52">
        <f>((SUBSIDIO!$L$157*SUBSIDIO!$W$157)+(SUBSIDIO!$N$157*SUBSIDIO!$X$157))*(0.06)/(1-0.06)</f>
        <v>1035.9809856000002</v>
      </c>
      <c r="AD157" s="52">
        <f>(SUBSIDIO!$J$157*SUBSIDIO!$Y$157)*(0.03)/(1-0.03)</f>
        <v>0</v>
      </c>
      <c r="AE157" s="52">
        <f ca="1">((SUBSIDIO!$L$157*SUBSIDIO!$Z$157)+(SUBSIDIO!$N$157*SUBSIDIO!$AA$157))*(0.03)/(1-0.03)</f>
        <v>571.48972816716116</v>
      </c>
      <c r="AF157" s="4" t="s">
        <v>597</v>
      </c>
    </row>
    <row r="158" spans="1:32" ht="11.25" customHeight="1" x14ac:dyDescent="0.3">
      <c r="A158" s="4" t="s">
        <v>21</v>
      </c>
      <c r="B158" s="4" t="s">
        <v>36</v>
      </c>
      <c r="C158" s="4" t="s">
        <v>23</v>
      </c>
      <c r="D158" s="4" t="s">
        <v>47</v>
      </c>
      <c r="E158" s="4" t="s">
        <v>48</v>
      </c>
      <c r="F158" s="4" t="s">
        <v>25</v>
      </c>
      <c r="G158" s="4" t="s">
        <v>25</v>
      </c>
      <c r="H158" s="4" t="s">
        <v>25</v>
      </c>
      <c r="I158" s="5">
        <v>44470</v>
      </c>
      <c r="J158" s="6">
        <v>0</v>
      </c>
      <c r="K158" s="52">
        <v>0</v>
      </c>
      <c r="L158" s="6">
        <v>28.202000000000002</v>
      </c>
      <c r="M158" s="52">
        <v>28.202000000000002</v>
      </c>
      <c r="N158" s="6">
        <v>28.202000000000002</v>
      </c>
      <c r="O158" s="52">
        <v>28.202000000000002</v>
      </c>
      <c r="P158" s="6">
        <v>6</v>
      </c>
      <c r="Q158" s="4" t="s">
        <v>26</v>
      </c>
      <c r="R158" s="4">
        <v>0</v>
      </c>
      <c r="S158" s="4">
        <v>0</v>
      </c>
      <c r="T158" s="4">
        <v>61</v>
      </c>
      <c r="U158" s="4">
        <v>2</v>
      </c>
      <c r="V158" s="52">
        <f>IF(ISERROR(VLOOKUP($S$158,'TAR FIN'!$A$1:$O$85,15,0)),0,VLOOKUP($S$158,'TAR FIN'!$A$1:$O$85,15,0))</f>
        <v>0</v>
      </c>
      <c r="W158" s="52">
        <f>IF(ISERROR(VLOOKUP($T$158,'TAR FIN'!$A$1:$O$85,15,0)),0,VLOOKUP($T$158,'TAR FIN'!$A$1:$O$85,15,0))*(1-0.06)</f>
        <v>434.53379999999999</v>
      </c>
      <c r="X158" s="52">
        <f>IF(ISERROR(VLOOKUP($U$158,'TAR FIN'!$A$1:$O$85,15,0)),0,VLOOKUP($U$158,'TAR FIN'!$A$1:$O$85,15,0))*(1-0.06)</f>
        <v>208.30399999999997</v>
      </c>
      <c r="Y158" s="52"/>
      <c r="Z158" s="52">
        <f ca="1">('TUSD BE'!$AM$48+'TUSD BF'!$AM$48+'TUSD CVA'!$AM$48)*1*(1-0.03)</f>
        <v>470.73348602879025</v>
      </c>
      <c r="AA158" s="52">
        <f>('TE BE'!$AB$39+'TE BF'!$AB$39+'TE CVA'!$AB$39)*1*(1-0.03)</f>
        <v>261.13311241088314</v>
      </c>
      <c r="AB158" s="52">
        <f>(SUBSIDIO!$J$158*SUBSIDIO!$V$158)*(0.06)/(1-0.06)</f>
        <v>0</v>
      </c>
      <c r="AC158" s="52">
        <f>((SUBSIDIO!$L$158*SUBSIDIO!$W$158)+(SUBSIDIO!$N$158*SUBSIDIO!$X$158))*(0.06)/(1-0.06)</f>
        <v>1157.1901044000001</v>
      </c>
      <c r="AD158" s="52">
        <f>(SUBSIDIO!$J$158*SUBSIDIO!$Y$158)*(0.03)/(1-0.03)</f>
        <v>0</v>
      </c>
      <c r="AE158" s="52">
        <f ca="1">((SUBSIDIO!$L$158*SUBSIDIO!$Z$158)+(SUBSIDIO!$N$158*SUBSIDIO!$AA$158))*(0.03)/(1-0.03)</f>
        <v>638.35366420192804</v>
      </c>
      <c r="AF158" s="4" t="s">
        <v>597</v>
      </c>
    </row>
    <row r="159" spans="1:32" ht="11.25" customHeight="1" x14ac:dyDescent="0.3">
      <c r="A159" s="4" t="s">
        <v>21</v>
      </c>
      <c r="B159" s="4" t="s">
        <v>36</v>
      </c>
      <c r="C159" s="4" t="s">
        <v>23</v>
      </c>
      <c r="D159" s="4" t="s">
        <v>47</v>
      </c>
      <c r="E159" s="4" t="s">
        <v>48</v>
      </c>
      <c r="F159" s="4" t="s">
        <v>25</v>
      </c>
      <c r="G159" s="4" t="s">
        <v>25</v>
      </c>
      <c r="H159" s="4" t="s">
        <v>25</v>
      </c>
      <c r="I159" s="5">
        <v>44501</v>
      </c>
      <c r="J159" s="6">
        <v>0</v>
      </c>
      <c r="K159" s="52">
        <v>0</v>
      </c>
      <c r="L159" s="6">
        <v>26.925000000000001</v>
      </c>
      <c r="M159" s="52">
        <v>26.925000000000001</v>
      </c>
      <c r="N159" s="6">
        <v>26.925000000000001</v>
      </c>
      <c r="O159" s="52">
        <v>26.925000000000001</v>
      </c>
      <c r="P159" s="6">
        <v>6</v>
      </c>
      <c r="Q159" s="4" t="s">
        <v>26</v>
      </c>
      <c r="R159" s="4">
        <v>0</v>
      </c>
      <c r="S159" s="4">
        <v>0</v>
      </c>
      <c r="T159" s="4">
        <v>61</v>
      </c>
      <c r="U159" s="4">
        <v>2</v>
      </c>
      <c r="V159" s="52">
        <f>IF(ISERROR(VLOOKUP($S$159,'TAR FIN'!$A$1:$O$85,15,0)),0,VLOOKUP($S$159,'TAR FIN'!$A$1:$O$85,15,0))</f>
        <v>0</v>
      </c>
      <c r="W159" s="52">
        <f>IF(ISERROR(VLOOKUP($T$159,'TAR FIN'!$A$1:$O$85,15,0)),0,VLOOKUP($T$159,'TAR FIN'!$A$1:$O$85,15,0))*(1-0.06)</f>
        <v>434.53379999999999</v>
      </c>
      <c r="X159" s="52">
        <f>IF(ISERROR(VLOOKUP($U$159,'TAR FIN'!$A$1:$O$85,15,0)),0,VLOOKUP($U$159,'TAR FIN'!$A$1:$O$85,15,0))*(1-0.06)</f>
        <v>208.30399999999997</v>
      </c>
      <c r="Y159" s="52"/>
      <c r="Z159" s="52">
        <f ca="1">('TUSD BE'!$AM$48+'TUSD BF'!$AM$48+'TUSD CVA'!$AM$48)*1*(1-0.03)</f>
        <v>470.73348602879025</v>
      </c>
      <c r="AA159" s="52">
        <f>('TE BE'!$AB$39+'TE BF'!$AB$39+'TE CVA'!$AB$39)*1*(1-0.03)</f>
        <v>261.13311241088314</v>
      </c>
      <c r="AB159" s="52">
        <f>(SUBSIDIO!$J$159*SUBSIDIO!$V$159)*(0.06)/(1-0.06)</f>
        <v>0</v>
      </c>
      <c r="AC159" s="52">
        <f>((SUBSIDIO!$L$159*SUBSIDIO!$W$159)+(SUBSIDIO!$N$159*SUBSIDIO!$X$159))*(0.06)/(1-0.06)</f>
        <v>1104.7919850000001</v>
      </c>
      <c r="AD159" s="52">
        <f>(SUBSIDIO!$J$159*SUBSIDIO!$Y$159)*(0.03)/(1-0.03)</f>
        <v>0</v>
      </c>
      <c r="AE159" s="52">
        <f ca="1">((SUBSIDIO!$L$159*SUBSIDIO!$Z$159)+(SUBSIDIO!$N$159*SUBSIDIO!$AA$159))*(0.03)/(1-0.03)</f>
        <v>609.4487060718003</v>
      </c>
      <c r="AF159" s="4" t="s">
        <v>597</v>
      </c>
    </row>
    <row r="160" spans="1:32" ht="11.25" customHeight="1" x14ac:dyDescent="0.3">
      <c r="A160" s="4" t="s">
        <v>21</v>
      </c>
      <c r="B160" s="4" t="s">
        <v>36</v>
      </c>
      <c r="C160" s="4" t="s">
        <v>23</v>
      </c>
      <c r="D160" s="4" t="s">
        <v>47</v>
      </c>
      <c r="E160" s="4" t="s">
        <v>48</v>
      </c>
      <c r="F160" s="4" t="s">
        <v>25</v>
      </c>
      <c r="G160" s="4" t="s">
        <v>25</v>
      </c>
      <c r="H160" s="4" t="s">
        <v>25</v>
      </c>
      <c r="I160" s="5">
        <v>44531</v>
      </c>
      <c r="J160" s="6">
        <v>0</v>
      </c>
      <c r="K160" s="52">
        <v>0</v>
      </c>
      <c r="L160" s="6">
        <v>27.533000000000001</v>
      </c>
      <c r="M160" s="52">
        <v>27.533000000000001</v>
      </c>
      <c r="N160" s="6">
        <v>27.533000000000001</v>
      </c>
      <c r="O160" s="52">
        <v>27.533000000000001</v>
      </c>
      <c r="P160" s="6">
        <v>6</v>
      </c>
      <c r="Q160" s="4" t="s">
        <v>26</v>
      </c>
      <c r="R160" s="4">
        <v>0</v>
      </c>
      <c r="S160" s="4">
        <v>0</v>
      </c>
      <c r="T160" s="4">
        <v>61</v>
      </c>
      <c r="U160" s="4">
        <v>2</v>
      </c>
      <c r="V160" s="52">
        <f>IF(ISERROR(VLOOKUP($S$160,'TAR FIN'!$A$1:$O$85,15,0)),0,VLOOKUP($S$160,'TAR FIN'!$A$1:$O$85,15,0))</f>
        <v>0</v>
      </c>
      <c r="W160" s="52">
        <f>IF(ISERROR(VLOOKUP($T$160,'TAR FIN'!$A$1:$O$85,15,0)),0,VLOOKUP($T$160,'TAR FIN'!$A$1:$O$85,15,0))*(1-0.06)</f>
        <v>434.53379999999999</v>
      </c>
      <c r="X160" s="52">
        <f>IF(ISERROR(VLOOKUP($U$160,'TAR FIN'!$A$1:$O$85,15,0)),0,VLOOKUP($U$160,'TAR FIN'!$A$1:$O$85,15,0))*(1-0.06)</f>
        <v>208.30399999999997</v>
      </c>
      <c r="Y160" s="52"/>
      <c r="Z160" s="52">
        <f ca="1">('TUSD BE'!$AM$48+'TUSD BF'!$AM$48+'TUSD CVA'!$AM$48)*1*(1-0.03)</f>
        <v>470.73348602879025</v>
      </c>
      <c r="AA160" s="52">
        <f>('TE BE'!$AB$39+'TE BF'!$AB$39+'TE CVA'!$AB$39)*1*(1-0.03)</f>
        <v>261.13311241088314</v>
      </c>
      <c r="AB160" s="52">
        <f>(SUBSIDIO!$J$160*SUBSIDIO!$V$160)*(0.06)/(1-0.06)</f>
        <v>0</v>
      </c>
      <c r="AC160" s="52">
        <f>((SUBSIDIO!$L$160*SUBSIDIO!$W$160)+(SUBSIDIO!$N$160*SUBSIDIO!$X$160))*(0.06)/(1-0.06)</f>
        <v>1129.7395626</v>
      </c>
      <c r="AD160" s="52">
        <f>(SUBSIDIO!$J$160*SUBSIDIO!$Y$160)*(0.03)/(1-0.03)</f>
        <v>0</v>
      </c>
      <c r="AE160" s="52">
        <f ca="1">((SUBSIDIO!$L$160*SUBSIDIO!$Z$160)+(SUBSIDIO!$N$160*SUBSIDIO!$AA$160))*(0.03)/(1-0.03)</f>
        <v>623.21081612905766</v>
      </c>
      <c r="AF160" s="4" t="s">
        <v>597</v>
      </c>
    </row>
    <row r="161" spans="1:32" ht="11.25" customHeight="1" x14ac:dyDescent="0.3">
      <c r="A161" s="4" t="s">
        <v>21</v>
      </c>
      <c r="B161" s="4" t="s">
        <v>36</v>
      </c>
      <c r="C161" s="4" t="s">
        <v>23</v>
      </c>
      <c r="D161" s="4" t="s">
        <v>47</v>
      </c>
      <c r="E161" s="4" t="s">
        <v>48</v>
      </c>
      <c r="F161" s="4" t="s">
        <v>25</v>
      </c>
      <c r="G161" s="4" t="s">
        <v>25</v>
      </c>
      <c r="H161" s="4" t="s">
        <v>25</v>
      </c>
      <c r="I161" s="5">
        <v>44562</v>
      </c>
      <c r="J161" s="6">
        <v>0</v>
      </c>
      <c r="K161" s="52">
        <v>0</v>
      </c>
      <c r="L161" s="6">
        <v>37.966000000000001</v>
      </c>
      <c r="M161" s="52">
        <v>37.966000000000001</v>
      </c>
      <c r="N161" s="6">
        <v>37.966000000000001</v>
      </c>
      <c r="O161" s="52">
        <v>37.966000000000001</v>
      </c>
      <c r="P161" s="6">
        <v>6</v>
      </c>
      <c r="Q161" s="4" t="s">
        <v>26</v>
      </c>
      <c r="R161" s="4">
        <v>0</v>
      </c>
      <c r="S161" s="4">
        <v>0</v>
      </c>
      <c r="T161" s="4">
        <v>61</v>
      </c>
      <c r="U161" s="4">
        <v>2</v>
      </c>
      <c r="V161" s="52">
        <f>IF(ISERROR(VLOOKUP($S$161,'TAR FIN'!$A$1:$O$85,15,0)),0,VLOOKUP($S$161,'TAR FIN'!$A$1:$O$85,15,0))</f>
        <v>0</v>
      </c>
      <c r="W161" s="52">
        <f>IF(ISERROR(VLOOKUP($T$161,'TAR FIN'!$A$1:$O$85,15,0)),0,VLOOKUP($T$161,'TAR FIN'!$A$1:$O$85,15,0))*(1-0.06)</f>
        <v>434.53379999999999</v>
      </c>
      <c r="X161" s="52">
        <f>IF(ISERROR(VLOOKUP($U$161,'TAR FIN'!$A$1:$O$85,15,0)),0,VLOOKUP($U$161,'TAR FIN'!$A$1:$O$85,15,0))*(1-0.06)</f>
        <v>208.30399999999997</v>
      </c>
      <c r="Y161" s="52"/>
      <c r="Z161" s="52">
        <f ca="1">('TUSD BE'!$AM$48+'TUSD BF'!$AM$48+'TUSD CVA'!$AM$48)*1*(1-0.03)</f>
        <v>470.73348602879025</v>
      </c>
      <c r="AA161" s="52">
        <f>('TE BE'!$AB$39+'TE BF'!$AB$39+'TE CVA'!$AB$39)*1*(1-0.03)</f>
        <v>261.13311241088314</v>
      </c>
      <c r="AB161" s="52">
        <f>(SUBSIDIO!$J$161*SUBSIDIO!$V$161)*(0.06)/(1-0.06)</f>
        <v>0</v>
      </c>
      <c r="AC161" s="52">
        <f>((SUBSIDIO!$L$161*SUBSIDIO!$W$161)+(SUBSIDIO!$N$161*SUBSIDIO!$X$161))*(0.06)/(1-0.06)</f>
        <v>1557.8285052000001</v>
      </c>
      <c r="AD161" s="52">
        <f>(SUBSIDIO!$J$161*SUBSIDIO!$Y$161)*(0.03)/(1-0.03)</f>
        <v>0</v>
      </c>
      <c r="AE161" s="52">
        <f ca="1">((SUBSIDIO!$L$161*SUBSIDIO!$Z$161)+(SUBSIDIO!$N$161*SUBSIDIO!$AA$161))*(0.03)/(1-0.03)</f>
        <v>859.3622868977518</v>
      </c>
      <c r="AF161" s="4" t="s">
        <v>597</v>
      </c>
    </row>
    <row r="162" spans="1:32" ht="11.25" customHeight="1" x14ac:dyDescent="0.3">
      <c r="A162" s="4" t="s">
        <v>21</v>
      </c>
      <c r="B162" s="4" t="s">
        <v>36</v>
      </c>
      <c r="C162" s="4" t="s">
        <v>23</v>
      </c>
      <c r="D162" s="4" t="s">
        <v>47</v>
      </c>
      <c r="E162" s="4" t="s">
        <v>48</v>
      </c>
      <c r="F162" s="4" t="s">
        <v>25</v>
      </c>
      <c r="G162" s="4" t="s">
        <v>25</v>
      </c>
      <c r="H162" s="4" t="s">
        <v>25</v>
      </c>
      <c r="I162" s="5">
        <v>44593</v>
      </c>
      <c r="J162" s="6">
        <v>0</v>
      </c>
      <c r="K162" s="52">
        <v>0</v>
      </c>
      <c r="L162" s="6">
        <v>30.204000000000001</v>
      </c>
      <c r="M162" s="52">
        <v>30.204000000000001</v>
      </c>
      <c r="N162" s="6">
        <v>30.204000000000001</v>
      </c>
      <c r="O162" s="52">
        <v>30.204000000000001</v>
      </c>
      <c r="P162" s="6">
        <v>6</v>
      </c>
      <c r="Q162" s="4" t="s">
        <v>26</v>
      </c>
      <c r="R162" s="4">
        <v>0</v>
      </c>
      <c r="S162" s="4">
        <v>0</v>
      </c>
      <c r="T162" s="4">
        <v>61</v>
      </c>
      <c r="U162" s="4">
        <v>2</v>
      </c>
      <c r="V162" s="52">
        <f>IF(ISERROR(VLOOKUP($S$162,'TAR FIN'!$A$1:$O$85,15,0)),0,VLOOKUP($S$162,'TAR FIN'!$A$1:$O$85,15,0))</f>
        <v>0</v>
      </c>
      <c r="W162" s="52">
        <f>IF(ISERROR(VLOOKUP($T$162,'TAR FIN'!$A$1:$O$85,15,0)),0,VLOOKUP($T$162,'TAR FIN'!$A$1:$O$85,15,0))*(1-0.06)</f>
        <v>434.53379999999999</v>
      </c>
      <c r="X162" s="52">
        <f>IF(ISERROR(VLOOKUP($U$162,'TAR FIN'!$A$1:$O$85,15,0)),0,VLOOKUP($U$162,'TAR FIN'!$A$1:$O$85,15,0))*(1-0.06)</f>
        <v>208.30399999999997</v>
      </c>
      <c r="Y162" s="52"/>
      <c r="Z162" s="52">
        <f ca="1">('TUSD BE'!$AM$48+'TUSD BF'!$AM$48+'TUSD CVA'!$AM$48)*1*(1-0.03)</f>
        <v>470.73348602879025</v>
      </c>
      <c r="AA162" s="52">
        <f>('TE BE'!$AB$39+'TE BF'!$AB$39+'TE CVA'!$AB$39)*1*(1-0.03)</f>
        <v>261.13311241088314</v>
      </c>
      <c r="AB162" s="52">
        <f>(SUBSIDIO!$J$162*SUBSIDIO!$V$162)*(0.06)/(1-0.06)</f>
        <v>0</v>
      </c>
      <c r="AC162" s="52">
        <f>((SUBSIDIO!$L$162*SUBSIDIO!$W$162)+(SUBSIDIO!$N$162*SUBSIDIO!$X$162))*(0.06)/(1-0.06)</f>
        <v>1239.3365688000001</v>
      </c>
      <c r="AD162" s="52">
        <f>(SUBSIDIO!$J$162*SUBSIDIO!$Y$162)*(0.03)/(1-0.03)</f>
        <v>0</v>
      </c>
      <c r="AE162" s="52">
        <f ca="1">((SUBSIDIO!$L$162*SUBSIDIO!$Z$162)+(SUBSIDIO!$N$162*SUBSIDIO!$AA$162))*(0.03)/(1-0.03)</f>
        <v>683.66903317335766</v>
      </c>
      <c r="AF162" s="4" t="s">
        <v>597</v>
      </c>
    </row>
    <row r="163" spans="1:32" ht="11.25" customHeight="1" x14ac:dyDescent="0.3">
      <c r="A163" s="4" t="s">
        <v>21</v>
      </c>
      <c r="B163" s="4" t="s">
        <v>36</v>
      </c>
      <c r="C163" s="4" t="s">
        <v>23</v>
      </c>
      <c r="D163" s="4" t="s">
        <v>47</v>
      </c>
      <c r="E163" s="4" t="s">
        <v>48</v>
      </c>
      <c r="F163" s="4" t="s">
        <v>25</v>
      </c>
      <c r="G163" s="4" t="s">
        <v>25</v>
      </c>
      <c r="H163" s="4" t="s">
        <v>25</v>
      </c>
      <c r="I163" s="5">
        <v>44621</v>
      </c>
      <c r="J163" s="6">
        <v>0</v>
      </c>
      <c r="K163" s="52">
        <v>0</v>
      </c>
      <c r="L163" s="6">
        <v>24.367000000000001</v>
      </c>
      <c r="M163" s="52">
        <v>24.367000000000001</v>
      </c>
      <c r="N163" s="6">
        <v>24.367000000000001</v>
      </c>
      <c r="O163" s="52">
        <v>24.367000000000001</v>
      </c>
      <c r="P163" s="6">
        <v>6</v>
      </c>
      <c r="Q163" s="4" t="s">
        <v>26</v>
      </c>
      <c r="R163" s="4">
        <v>0</v>
      </c>
      <c r="S163" s="4">
        <v>0</v>
      </c>
      <c r="T163" s="4">
        <v>61</v>
      </c>
      <c r="U163" s="4">
        <v>2</v>
      </c>
      <c r="V163" s="52">
        <f>IF(ISERROR(VLOOKUP($S$163,'TAR FIN'!$A$1:$O$85,15,0)),0,VLOOKUP($S$163,'TAR FIN'!$A$1:$O$85,15,0))</f>
        <v>0</v>
      </c>
      <c r="W163" s="52">
        <f>IF(ISERROR(VLOOKUP($T$163,'TAR FIN'!$A$1:$O$85,15,0)),0,VLOOKUP($T$163,'TAR FIN'!$A$1:$O$85,15,0))*(1-0.06)</f>
        <v>434.53379999999999</v>
      </c>
      <c r="X163" s="52">
        <f>IF(ISERROR(VLOOKUP($U$163,'TAR FIN'!$A$1:$O$85,15,0)),0,VLOOKUP($U$163,'TAR FIN'!$A$1:$O$85,15,0))*(1-0.06)</f>
        <v>208.30399999999997</v>
      </c>
      <c r="Y163" s="52"/>
      <c r="Z163" s="52">
        <f ca="1">('TUSD BE'!$AM$48+'TUSD BF'!$AM$48+'TUSD CVA'!$AM$48)*1*(1-0.03)</f>
        <v>470.73348602879025</v>
      </c>
      <c r="AA163" s="52">
        <f>('TE BE'!$AB$39+'TE BF'!$AB$39+'TE CVA'!$AB$39)*1*(1-0.03)</f>
        <v>261.13311241088314</v>
      </c>
      <c r="AB163" s="52">
        <f>(SUBSIDIO!$J$163*SUBSIDIO!$V$163)*(0.06)/(1-0.06)</f>
        <v>0</v>
      </c>
      <c r="AC163" s="52">
        <f>((SUBSIDIO!$L$163*SUBSIDIO!$W$163)+(SUBSIDIO!$N$163*SUBSIDIO!$X$163))*(0.06)/(1-0.06)</f>
        <v>999.83161739999991</v>
      </c>
      <c r="AD163" s="52">
        <f>(SUBSIDIO!$J$163*SUBSIDIO!$Y$163)*(0.03)/(1-0.03)</f>
        <v>0</v>
      </c>
      <c r="AE163" s="52">
        <f ca="1">((SUBSIDIO!$L$163*SUBSIDIO!$Z$163)+(SUBSIDIO!$N$163*SUBSIDIO!$AA$163))*(0.03)/(1-0.03)</f>
        <v>551.54824961379973</v>
      </c>
      <c r="AF163" s="4" t="s">
        <v>597</v>
      </c>
    </row>
    <row r="164" spans="1:32" ht="11.25" customHeight="1" x14ac:dyDescent="0.3">
      <c r="A164" s="4" t="s">
        <v>21</v>
      </c>
      <c r="B164" s="4" t="s">
        <v>36</v>
      </c>
      <c r="C164" s="4" t="s">
        <v>23</v>
      </c>
      <c r="D164" s="4" t="s">
        <v>47</v>
      </c>
      <c r="E164" s="4" t="s">
        <v>48</v>
      </c>
      <c r="F164" s="4" t="s">
        <v>25</v>
      </c>
      <c r="G164" s="4" t="s">
        <v>25</v>
      </c>
      <c r="H164" s="4" t="s">
        <v>25</v>
      </c>
      <c r="I164" s="5">
        <v>44652</v>
      </c>
      <c r="J164" s="6">
        <v>0</v>
      </c>
      <c r="K164" s="52">
        <v>0</v>
      </c>
      <c r="L164" s="6">
        <v>41.77</v>
      </c>
      <c r="M164" s="52">
        <v>41.77</v>
      </c>
      <c r="N164" s="6">
        <v>41.77</v>
      </c>
      <c r="O164" s="52">
        <v>41.77</v>
      </c>
      <c r="P164" s="6">
        <v>6</v>
      </c>
      <c r="Q164" s="4" t="s">
        <v>26</v>
      </c>
      <c r="R164" s="4">
        <v>0</v>
      </c>
      <c r="S164" s="4">
        <v>0</v>
      </c>
      <c r="T164" s="4">
        <v>61</v>
      </c>
      <c r="U164" s="4">
        <v>2</v>
      </c>
      <c r="V164" s="52">
        <f>IF(ISERROR(VLOOKUP($S$164,'TAR FIN'!$A$1:$O$85,15,0)),0,VLOOKUP($S$164,'TAR FIN'!$A$1:$O$85,15,0))</f>
        <v>0</v>
      </c>
      <c r="W164" s="52">
        <f>IF(ISERROR(VLOOKUP($T$164,'TAR FIN'!$A$1:$O$85,15,0)),0,VLOOKUP($T$164,'TAR FIN'!$A$1:$O$85,15,0))*(1-0.06)</f>
        <v>434.53379999999999</v>
      </c>
      <c r="X164" s="52">
        <f>IF(ISERROR(VLOOKUP($U$164,'TAR FIN'!$A$1:$O$85,15,0)),0,VLOOKUP($U$164,'TAR FIN'!$A$1:$O$85,15,0))*(1-0.06)</f>
        <v>208.30399999999997</v>
      </c>
      <c r="Y164" s="52"/>
      <c r="Z164" s="52">
        <f ca="1">('TUSD BE'!$AM$48+'TUSD BF'!$AM$48+'TUSD CVA'!$AM$48)*1*(1-0.03)</f>
        <v>470.73348602879025</v>
      </c>
      <c r="AA164" s="52">
        <f>('TE BE'!$AB$39+'TE BF'!$AB$39+'TE CVA'!$AB$39)*1*(1-0.03)</f>
        <v>261.13311241088314</v>
      </c>
      <c r="AB164" s="52">
        <f>(SUBSIDIO!$J$164*SUBSIDIO!$V$164)*(0.06)/(1-0.06)</f>
        <v>0</v>
      </c>
      <c r="AC164" s="52">
        <f>((SUBSIDIO!$L$164*SUBSIDIO!$W$164)+(SUBSIDIO!$N$164*SUBSIDIO!$X$164))*(0.06)/(1-0.06)</f>
        <v>1713.9149940000002</v>
      </c>
      <c r="AD164" s="52">
        <f>(SUBSIDIO!$J$164*SUBSIDIO!$Y$164)*(0.03)/(1-0.03)</f>
        <v>0</v>
      </c>
      <c r="AE164" s="52">
        <f ca="1">((SUBSIDIO!$L$164*SUBSIDIO!$Z$164)+(SUBSIDIO!$N$164*SUBSIDIO!$AA$164))*(0.03)/(1-0.03)</f>
        <v>945.46601495335551</v>
      </c>
      <c r="AF164" s="4" t="s">
        <v>597</v>
      </c>
    </row>
    <row r="165" spans="1:32" ht="11.25" customHeight="1" x14ac:dyDescent="0.3">
      <c r="A165" s="4" t="s">
        <v>21</v>
      </c>
      <c r="B165" s="4" t="s">
        <v>36</v>
      </c>
      <c r="C165" s="4" t="s">
        <v>23</v>
      </c>
      <c r="D165" s="4" t="s">
        <v>47</v>
      </c>
      <c r="E165" s="4" t="s">
        <v>48</v>
      </c>
      <c r="F165" s="4" t="s">
        <v>25</v>
      </c>
      <c r="G165" s="4" t="s">
        <v>25</v>
      </c>
      <c r="H165" s="4" t="s">
        <v>25</v>
      </c>
      <c r="I165" s="5">
        <v>44682</v>
      </c>
      <c r="J165" s="6">
        <v>0</v>
      </c>
      <c r="K165" s="52">
        <v>0</v>
      </c>
      <c r="L165" s="6">
        <v>37.753</v>
      </c>
      <c r="M165" s="52">
        <v>37.753</v>
      </c>
      <c r="N165" s="6">
        <v>37.753</v>
      </c>
      <c r="O165" s="52">
        <v>37.753</v>
      </c>
      <c r="P165" s="6">
        <v>6</v>
      </c>
      <c r="Q165" s="4" t="s">
        <v>26</v>
      </c>
      <c r="R165" s="4">
        <v>0</v>
      </c>
      <c r="S165" s="4">
        <v>0</v>
      </c>
      <c r="T165" s="4">
        <v>61</v>
      </c>
      <c r="U165" s="4">
        <v>2</v>
      </c>
      <c r="V165" s="52">
        <f>IF(ISERROR(VLOOKUP($S$165,'TAR FIN'!$A$1:$O$85,15,0)),0,VLOOKUP($S$165,'TAR FIN'!$A$1:$O$85,15,0))</f>
        <v>0</v>
      </c>
      <c r="W165" s="52">
        <f>IF(ISERROR(VLOOKUP($T$165,'TAR FIN'!$A$1:$O$85,15,0)),0,VLOOKUP($T$165,'TAR FIN'!$A$1:$O$85,15,0))*(1-0.06)</f>
        <v>434.53379999999999</v>
      </c>
      <c r="X165" s="52">
        <f>IF(ISERROR(VLOOKUP($U$165,'TAR FIN'!$A$1:$O$85,15,0)),0,VLOOKUP($U$165,'TAR FIN'!$A$1:$O$85,15,0))*(1-0.06)</f>
        <v>208.30399999999997</v>
      </c>
      <c r="Y165" s="52"/>
      <c r="Z165" s="52">
        <f ca="1">('TUSD BE'!$AM$48+'TUSD BF'!$AM$48+'TUSD CVA'!$AM$48)*1*(1-0.03)</f>
        <v>470.73348602879025</v>
      </c>
      <c r="AA165" s="52">
        <f>('TE BE'!$AB$39+'TE BF'!$AB$39+'TE CVA'!$AB$39)*1*(1-0.03)</f>
        <v>261.13311241088314</v>
      </c>
      <c r="AB165" s="52">
        <f>(SUBSIDIO!$J$165*SUBSIDIO!$V$165)*(0.06)/(1-0.06)</f>
        <v>0</v>
      </c>
      <c r="AC165" s="52">
        <f>((SUBSIDIO!$L$165*SUBSIDIO!$W$165)+(SUBSIDIO!$N$165*SUBSIDIO!$X$165))*(0.06)/(1-0.06)</f>
        <v>1549.0886465999997</v>
      </c>
      <c r="AD165" s="52">
        <f>(SUBSIDIO!$J$165*SUBSIDIO!$Y$165)*(0.03)/(1-0.03)</f>
        <v>0</v>
      </c>
      <c r="AE165" s="52">
        <f ca="1">((SUBSIDIO!$L$165*SUBSIDIO!$Z$165)+(SUBSIDIO!$N$165*SUBSIDIO!$AA$165))*(0.03)/(1-0.03)</f>
        <v>854.54102136782456</v>
      </c>
      <c r="AF165" s="4" t="s">
        <v>597</v>
      </c>
    </row>
    <row r="166" spans="1:32" ht="11.25" customHeight="1" x14ac:dyDescent="0.3">
      <c r="A166" s="4" t="s">
        <v>21</v>
      </c>
      <c r="B166" s="4" t="s">
        <v>36</v>
      </c>
      <c r="C166" s="4" t="s">
        <v>23</v>
      </c>
      <c r="D166" s="4" t="s">
        <v>47</v>
      </c>
      <c r="E166" s="4" t="s">
        <v>48</v>
      </c>
      <c r="F166" s="4" t="s">
        <v>25</v>
      </c>
      <c r="G166" s="4" t="s">
        <v>25</v>
      </c>
      <c r="H166" s="4" t="s">
        <v>25</v>
      </c>
      <c r="I166" s="5">
        <v>44713</v>
      </c>
      <c r="J166" s="6">
        <v>0</v>
      </c>
      <c r="K166" s="52">
        <v>0</v>
      </c>
      <c r="L166" s="6">
        <v>20.911000000000001</v>
      </c>
      <c r="M166" s="52">
        <v>20.911000000000001</v>
      </c>
      <c r="N166" s="6">
        <v>20.911000000000001</v>
      </c>
      <c r="O166" s="52">
        <v>20.911000000000001</v>
      </c>
      <c r="P166" s="6">
        <v>6</v>
      </c>
      <c r="Q166" s="4" t="s">
        <v>26</v>
      </c>
      <c r="R166" s="4">
        <v>0</v>
      </c>
      <c r="S166" s="4">
        <v>0</v>
      </c>
      <c r="T166" s="4">
        <v>61</v>
      </c>
      <c r="U166" s="4">
        <v>2</v>
      </c>
      <c r="V166" s="52">
        <f>IF(ISERROR(VLOOKUP($S$166,'TAR FIN'!$A$1:$O$85,15,0)),0,VLOOKUP($S$166,'TAR FIN'!$A$1:$O$85,15,0))</f>
        <v>0</v>
      </c>
      <c r="W166" s="52">
        <f>IF(ISERROR(VLOOKUP($T$166,'TAR FIN'!$A$1:$O$85,15,0)),0,VLOOKUP($T$166,'TAR FIN'!$A$1:$O$85,15,0))*(1-0.06)</f>
        <v>434.53379999999999</v>
      </c>
      <c r="X166" s="52">
        <f>IF(ISERROR(VLOOKUP($U$166,'TAR FIN'!$A$1:$O$85,15,0)),0,VLOOKUP($U$166,'TAR FIN'!$A$1:$O$85,15,0))*(1-0.06)</f>
        <v>208.30399999999997</v>
      </c>
      <c r="Y166" s="52"/>
      <c r="Z166" s="52">
        <f ca="1">('TUSD BE'!$AM$48+'TUSD BF'!$AM$48+'TUSD CVA'!$AM$48)*1*(1-0.03)</f>
        <v>470.73348602879025</v>
      </c>
      <c r="AA166" s="52">
        <f>('TE BE'!$AB$39+'TE BF'!$AB$39+'TE CVA'!$AB$39)*1*(1-0.03)</f>
        <v>261.13311241088314</v>
      </c>
      <c r="AB166" s="52">
        <f>(SUBSIDIO!$J$166*SUBSIDIO!$V$166)*(0.06)/(1-0.06)</f>
        <v>0</v>
      </c>
      <c r="AC166" s="52">
        <f>((SUBSIDIO!$L$166*SUBSIDIO!$W$166)+(SUBSIDIO!$N$166*SUBSIDIO!$X$166))*(0.06)/(1-0.06)</f>
        <v>858.02433419999988</v>
      </c>
      <c r="AD166" s="52">
        <f>(SUBSIDIO!$J$166*SUBSIDIO!$Y$166)*(0.03)/(1-0.03)</f>
        <v>0</v>
      </c>
      <c r="AE166" s="52">
        <f ca="1">((SUBSIDIO!$L$166*SUBSIDIO!$Z$166)+(SUBSIDIO!$N$166*SUBSIDIO!$AA$166))*(0.03)/(1-0.03)</f>
        <v>473.32151876202096</v>
      </c>
      <c r="AF166" s="4" t="s">
        <v>597</v>
      </c>
    </row>
    <row r="167" spans="1:32" ht="11.25" customHeight="1" x14ac:dyDescent="0.3">
      <c r="A167" s="4" t="s">
        <v>21</v>
      </c>
      <c r="B167" s="4" t="s">
        <v>36</v>
      </c>
      <c r="C167" s="4" t="s">
        <v>23</v>
      </c>
      <c r="D167" s="4" t="s">
        <v>47</v>
      </c>
      <c r="E167" s="4" t="s">
        <v>48</v>
      </c>
      <c r="F167" s="4" t="s">
        <v>25</v>
      </c>
      <c r="G167" s="4" t="s">
        <v>25</v>
      </c>
      <c r="H167" s="4" t="s">
        <v>25</v>
      </c>
      <c r="I167" s="5">
        <v>44743</v>
      </c>
      <c r="J167" s="6">
        <v>0</v>
      </c>
      <c r="K167" s="52">
        <v>0</v>
      </c>
      <c r="L167" s="6">
        <v>28.986999999999998</v>
      </c>
      <c r="M167" s="52">
        <v>28.986999999999998</v>
      </c>
      <c r="N167" s="6">
        <v>28.986999999999998</v>
      </c>
      <c r="O167" s="52">
        <v>28.986999999999998</v>
      </c>
      <c r="P167" s="6">
        <v>6</v>
      </c>
      <c r="Q167" s="4" t="s">
        <v>26</v>
      </c>
      <c r="R167" s="4">
        <v>0</v>
      </c>
      <c r="S167" s="4">
        <v>0</v>
      </c>
      <c r="T167" s="4">
        <v>61</v>
      </c>
      <c r="U167" s="4">
        <v>2</v>
      </c>
      <c r="V167" s="52">
        <f>IF(ISERROR(VLOOKUP($S$167,'TAR FIN'!$A$1:$O$85,15,0)),0,VLOOKUP($S$167,'TAR FIN'!$A$1:$O$85,15,0))</f>
        <v>0</v>
      </c>
      <c r="W167" s="52">
        <f>IF(ISERROR(VLOOKUP($T$167,'TAR FIN'!$A$1:$O$85,15,0)),0,VLOOKUP($T$167,'TAR FIN'!$A$1:$O$85,15,0))*(1-0.06)</f>
        <v>434.53379999999999</v>
      </c>
      <c r="X167" s="52">
        <f>IF(ISERROR(VLOOKUP($U$167,'TAR FIN'!$A$1:$O$85,15,0)),0,VLOOKUP($U$167,'TAR FIN'!$A$1:$O$85,15,0))*(1-0.06)</f>
        <v>208.30399999999997</v>
      </c>
      <c r="Y167" s="52"/>
      <c r="Z167" s="52">
        <f ca="1">('TUSD BE'!$AM$48+'TUSD BF'!$AM$48+'TUSD CVA'!$AM$48)*1*(1-0.03)</f>
        <v>470.73348602879025</v>
      </c>
      <c r="AA167" s="52">
        <f>('TE BE'!$AB$39+'TE BF'!$AB$39+'TE CVA'!$AB$39)*1*(1-0.03)</f>
        <v>261.13311241088314</v>
      </c>
      <c r="AB167" s="52">
        <f>(SUBSIDIO!$J$167*SUBSIDIO!$V$167)*(0.06)/(1-0.06)</f>
        <v>0</v>
      </c>
      <c r="AC167" s="52">
        <f>((SUBSIDIO!$L$167*SUBSIDIO!$W$167)+(SUBSIDIO!$N$167*SUBSIDIO!$X$167))*(0.06)/(1-0.06)</f>
        <v>1189.4003813999998</v>
      </c>
      <c r="AD167" s="52">
        <f>(SUBSIDIO!$J$167*SUBSIDIO!$Y$167)*(0.03)/(1-0.03)</f>
        <v>0</v>
      </c>
      <c r="AE167" s="52">
        <f ca="1">((SUBSIDIO!$L$167*SUBSIDIO!$Z$167)+(SUBSIDIO!$N$167*SUBSIDIO!$AA$167))*(0.03)/(1-0.03)</f>
        <v>656.12217800940653</v>
      </c>
      <c r="AF167" s="4" t="s">
        <v>597</v>
      </c>
    </row>
    <row r="168" spans="1:32" ht="11.25" customHeight="1" x14ac:dyDescent="0.3">
      <c r="A168" s="4" t="s">
        <v>21</v>
      </c>
      <c r="B168" s="4" t="s">
        <v>36</v>
      </c>
      <c r="C168" s="4" t="s">
        <v>23</v>
      </c>
      <c r="D168" s="4" t="s">
        <v>47</v>
      </c>
      <c r="E168" s="4" t="s">
        <v>48</v>
      </c>
      <c r="F168" s="4" t="s">
        <v>25</v>
      </c>
      <c r="G168" s="4" t="s">
        <v>25</v>
      </c>
      <c r="H168" s="4" t="s">
        <v>25</v>
      </c>
      <c r="I168" s="5">
        <v>44774</v>
      </c>
      <c r="J168" s="6">
        <v>0</v>
      </c>
      <c r="K168" s="52">
        <v>0</v>
      </c>
      <c r="L168" s="6">
        <v>29.271999999999998</v>
      </c>
      <c r="M168" s="52">
        <v>29.271999999999998</v>
      </c>
      <c r="N168" s="6">
        <v>29.271999999999998</v>
      </c>
      <c r="O168" s="52">
        <v>29.271999999999998</v>
      </c>
      <c r="P168" s="6">
        <v>6</v>
      </c>
      <c r="Q168" s="4" t="s">
        <v>26</v>
      </c>
      <c r="R168" s="4">
        <v>0</v>
      </c>
      <c r="S168" s="4">
        <v>0</v>
      </c>
      <c r="T168" s="4">
        <v>61</v>
      </c>
      <c r="U168" s="4">
        <v>2</v>
      </c>
      <c r="V168" s="52">
        <f>IF(ISERROR(VLOOKUP($S$168,'TAR FIN'!$A$1:$O$85,15,0)),0,VLOOKUP($S$168,'TAR FIN'!$A$1:$O$85,15,0))</f>
        <v>0</v>
      </c>
      <c r="W168" s="52">
        <f>IF(ISERROR(VLOOKUP($T$168,'TAR FIN'!$A$1:$O$85,15,0)),0,VLOOKUP($T$168,'TAR FIN'!$A$1:$O$85,15,0))*(1-0.06)</f>
        <v>434.53379999999999</v>
      </c>
      <c r="X168" s="52">
        <f>IF(ISERROR(VLOOKUP($U$168,'TAR FIN'!$A$1:$O$85,15,0)),0,VLOOKUP($U$168,'TAR FIN'!$A$1:$O$85,15,0))*(1-0.06)</f>
        <v>208.30399999999997</v>
      </c>
      <c r="Y168" s="52"/>
      <c r="Z168" s="52">
        <f ca="1">('TUSD BE'!$AM$48+'TUSD BF'!$AM$48+'TUSD CVA'!$AM$48)*1*(1-0.03)</f>
        <v>470.73348602879025</v>
      </c>
      <c r="AA168" s="52">
        <f>('TE BE'!$AB$39+'TE BF'!$AB$39+'TE CVA'!$AB$39)*1*(1-0.03)</f>
        <v>261.13311241088314</v>
      </c>
      <c r="AB168" s="52">
        <f>(SUBSIDIO!$J$168*SUBSIDIO!$V$168)*(0.06)/(1-0.06)</f>
        <v>0</v>
      </c>
      <c r="AC168" s="52">
        <f>((SUBSIDIO!$L$168*SUBSIDIO!$W$168)+(SUBSIDIO!$N$168*SUBSIDIO!$X$168))*(0.06)/(1-0.06)</f>
        <v>1201.0945583999996</v>
      </c>
      <c r="AD168" s="52">
        <f>(SUBSIDIO!$J$168*SUBSIDIO!$Y$168)*(0.03)/(1-0.03)</f>
        <v>0</v>
      </c>
      <c r="AE168" s="52">
        <f ca="1">((SUBSIDIO!$L$168*SUBSIDIO!$Z$168)+(SUBSIDIO!$N$168*SUBSIDIO!$AA$168))*(0.03)/(1-0.03)</f>
        <v>662.5731670987459</v>
      </c>
      <c r="AF168" s="4" t="s">
        <v>597</v>
      </c>
    </row>
    <row r="169" spans="1:32" ht="11.25" customHeight="1" x14ac:dyDescent="0.3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2" ht="11.25" customHeight="1" x14ac:dyDescent="0.3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2" ht="11.25" customHeight="1" x14ac:dyDescent="0.3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2" ht="11.25" customHeight="1" x14ac:dyDescent="0.3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2" ht="11.25" customHeight="1" x14ac:dyDescent="0.3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2" ht="11.25" customHeight="1" x14ac:dyDescent="0.3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2" ht="11.25" customHeight="1" x14ac:dyDescent="0.3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2" ht="11.25" customHeight="1" x14ac:dyDescent="0.3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3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3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3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3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3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3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3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3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3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3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3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3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3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3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3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3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3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3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3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3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3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3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3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3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3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3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3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3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3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3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3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3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3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3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3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3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3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3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3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3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3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3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3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3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3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3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3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3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3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3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3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3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3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3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3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3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3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3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3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FD69-86E0-42A9-B170-519BD3FE8C30}">
  <dimension ref="A1:J341"/>
  <sheetViews>
    <sheetView showGridLines="0" workbookViewId="0"/>
  </sheetViews>
  <sheetFormatPr defaultRowHeight="11.25" customHeight="1" x14ac:dyDescent="0.2"/>
  <cols>
    <col min="1" max="1" width="35.109375" style="14" bestFit="1" customWidth="1"/>
    <col min="2" max="2" width="23.88671875" style="39" bestFit="1" customWidth="1"/>
    <col min="3" max="3" width="24.88671875" style="39" bestFit="1" customWidth="1"/>
    <col min="4" max="4" width="25.21875" style="39" bestFit="1" customWidth="1"/>
    <col min="5" max="5" width="26.109375" style="39" bestFit="1" customWidth="1"/>
    <col min="6" max="6" width="23" style="39" bestFit="1" customWidth="1"/>
    <col min="7" max="7" width="23.88671875" style="39" bestFit="1" customWidth="1"/>
    <col min="8" max="8" width="17.77734375" style="40" bestFit="1" customWidth="1"/>
    <col min="9" max="9" width="15.5546875" style="40" bestFit="1" customWidth="1"/>
    <col min="10" max="10" width="13.44140625" style="40" bestFit="1" customWidth="1"/>
    <col min="11" max="16384" width="8.88671875" style="14"/>
  </cols>
  <sheetData>
    <row r="1" spans="1:10" ht="11.25" customHeight="1" x14ac:dyDescent="0.2">
      <c r="A1" s="38" t="s">
        <v>581</v>
      </c>
      <c r="B1" s="39" t="s">
        <v>582</v>
      </c>
      <c r="C1" s="39" t="s">
        <v>583</v>
      </c>
      <c r="D1" s="39" t="s">
        <v>584</v>
      </c>
      <c r="E1" s="39" t="s">
        <v>585</v>
      </c>
      <c r="F1" s="39" t="s">
        <v>586</v>
      </c>
      <c r="G1" s="39" t="s">
        <v>587</v>
      </c>
      <c r="H1" s="40" t="s">
        <v>588</v>
      </c>
      <c r="I1" s="40" t="s">
        <v>589</v>
      </c>
      <c r="J1" s="40" t="s">
        <v>590</v>
      </c>
    </row>
    <row r="2" spans="1:10" ht="11.25" customHeight="1" x14ac:dyDescent="0.2">
      <c r="A2" s="41" t="s">
        <v>26</v>
      </c>
      <c r="B2" s="39">
        <v>273873.01199999993</v>
      </c>
      <c r="C2" s="39">
        <v>295621.0821584767</v>
      </c>
      <c r="D2" s="39">
        <v>4319383.9422751972</v>
      </c>
      <c r="E2" s="39">
        <v>4749565.1308598863</v>
      </c>
      <c r="F2" s="39">
        <v>2308704.2985200016</v>
      </c>
      <c r="G2" s="39">
        <v>3892671.5604692088</v>
      </c>
      <c r="H2" s="40">
        <v>9.8389718503017143E-2</v>
      </c>
      <c r="I2" s="40">
        <v>0.68608494512034879</v>
      </c>
      <c r="J2" s="40">
        <v>0.29497362360124257</v>
      </c>
    </row>
    <row r="3" spans="1:10" ht="11.25" customHeight="1" x14ac:dyDescent="0.2">
      <c r="A3" s="42" t="s">
        <v>38</v>
      </c>
      <c r="B3" s="39">
        <v>273873.01199999993</v>
      </c>
      <c r="C3" s="39">
        <v>295621.0821584767</v>
      </c>
      <c r="D3" s="39">
        <v>821144.12491080002</v>
      </c>
      <c r="E3" s="39">
        <v>953458.26896562066</v>
      </c>
      <c r="F3" s="39">
        <v>623705.58300799981</v>
      </c>
      <c r="G3" s="39">
        <v>1043300.103565279</v>
      </c>
      <c r="H3" s="40">
        <v>0.14069388415959327</v>
      </c>
      <c r="I3" s="40">
        <v>0.67274453201727624</v>
      </c>
      <c r="J3" s="40">
        <v>0.33376921601273724</v>
      </c>
    </row>
    <row r="4" spans="1:10" ht="11.25" customHeight="1" x14ac:dyDescent="0.2">
      <c r="A4" s="43" t="s">
        <v>39</v>
      </c>
      <c r="B4" s="39">
        <v>273873.01199999993</v>
      </c>
      <c r="C4" s="39">
        <v>295621.0821584767</v>
      </c>
      <c r="D4" s="39">
        <v>821144.12491080002</v>
      </c>
      <c r="E4" s="39">
        <v>953458.26896562066</v>
      </c>
      <c r="F4" s="39">
        <v>623705.58300799981</v>
      </c>
      <c r="G4" s="39">
        <v>1043300.103565279</v>
      </c>
      <c r="H4" s="40">
        <v>0.14069388415959327</v>
      </c>
      <c r="I4" s="40">
        <v>0.67274453201727624</v>
      </c>
      <c r="J4" s="40">
        <v>0.33376921601273724</v>
      </c>
    </row>
    <row r="5" spans="1:10" ht="11.25" customHeight="1" x14ac:dyDescent="0.2">
      <c r="A5" s="44" t="s">
        <v>37</v>
      </c>
      <c r="B5" s="39">
        <v>69109.440000000002</v>
      </c>
      <c r="C5" s="39">
        <v>74597.373764474149</v>
      </c>
      <c r="D5" s="39">
        <v>55483.449119999997</v>
      </c>
      <c r="E5" s="39">
        <v>66644.443238388922</v>
      </c>
      <c r="F5" s="39">
        <v>57253.684000000008</v>
      </c>
      <c r="G5" s="39">
        <v>95770.78684884496</v>
      </c>
      <c r="H5" s="40">
        <v>0.13362662990203122</v>
      </c>
      <c r="I5" s="40">
        <v>0.67274453201727491</v>
      </c>
      <c r="J5" s="40">
        <v>0.30336579779979744</v>
      </c>
    </row>
    <row r="6" spans="1:10" ht="11.25" customHeight="1" x14ac:dyDescent="0.2">
      <c r="A6" s="45" t="s">
        <v>25</v>
      </c>
      <c r="B6" s="39">
        <v>69109.440000000002</v>
      </c>
      <c r="C6" s="39">
        <v>74597.373764474149</v>
      </c>
      <c r="D6" s="39">
        <v>55483.449119999997</v>
      </c>
      <c r="E6" s="39">
        <v>66644.443238388922</v>
      </c>
      <c r="F6" s="39">
        <v>57253.684000000008</v>
      </c>
      <c r="G6" s="39">
        <v>95770.78684884496</v>
      </c>
      <c r="H6" s="40">
        <v>0.13362662990203122</v>
      </c>
      <c r="I6" s="40">
        <v>0.67274453201727491</v>
      </c>
      <c r="J6" s="40">
        <v>0.30336579779979744</v>
      </c>
    </row>
    <row r="7" spans="1:10" ht="11.25" customHeight="1" x14ac:dyDescent="0.2">
      <c r="A7" s="46" t="s">
        <v>25</v>
      </c>
      <c r="B7" s="39">
        <v>69109.440000000002</v>
      </c>
      <c r="C7" s="39">
        <v>74597.373764474149</v>
      </c>
      <c r="D7" s="39">
        <v>55483.449119999997</v>
      </c>
      <c r="E7" s="39">
        <v>66644.443238388922</v>
      </c>
      <c r="F7" s="39">
        <v>57253.684000000008</v>
      </c>
      <c r="G7" s="39">
        <v>95770.78684884496</v>
      </c>
      <c r="H7" s="40">
        <v>0.13362662990203122</v>
      </c>
      <c r="I7" s="40">
        <v>0.67274453201727491</v>
      </c>
      <c r="J7" s="40">
        <v>0.30336579779979744</v>
      </c>
    </row>
    <row r="8" spans="1:10" ht="11.25" customHeight="1" x14ac:dyDescent="0.2">
      <c r="A8" s="47" t="s">
        <v>25</v>
      </c>
      <c r="B8" s="39">
        <v>69109.440000000002</v>
      </c>
      <c r="C8" s="39">
        <v>74597.373764474149</v>
      </c>
      <c r="D8" s="39">
        <v>55483.449119999997</v>
      </c>
      <c r="E8" s="39">
        <v>66644.443238388922</v>
      </c>
      <c r="F8" s="39">
        <v>57253.684000000008</v>
      </c>
      <c r="G8" s="39">
        <v>95770.78684884496</v>
      </c>
      <c r="H8" s="40">
        <v>0.13362662990203122</v>
      </c>
      <c r="I8" s="40">
        <v>0.67274453201727491</v>
      </c>
      <c r="J8" s="40">
        <v>0.30336579779979744</v>
      </c>
    </row>
    <row r="9" spans="1:10" ht="11.25" customHeight="1" x14ac:dyDescent="0.2">
      <c r="A9" s="48" t="s">
        <v>34</v>
      </c>
      <c r="B9" s="39">
        <v>0</v>
      </c>
      <c r="C9" s="39">
        <v>0</v>
      </c>
      <c r="D9" s="39">
        <v>22876.332119999999</v>
      </c>
      <c r="E9" s="39">
        <v>31978.622858567156</v>
      </c>
      <c r="F9" s="39">
        <v>54229.7304</v>
      </c>
      <c r="G9" s="39">
        <v>90712.484999371009</v>
      </c>
      <c r="H9" s="40">
        <v>0.39789117813206309</v>
      </c>
      <c r="I9" s="40">
        <v>0.67274453201727535</v>
      </c>
      <c r="J9" s="40">
        <v>0.59119923710427003</v>
      </c>
    </row>
    <row r="10" spans="1:10" ht="11.25" customHeight="1" x14ac:dyDescent="0.2">
      <c r="A10" s="49">
        <v>44440</v>
      </c>
      <c r="B10" s="39">
        <v>0</v>
      </c>
      <c r="C10" s="39">
        <v>0</v>
      </c>
      <c r="D10" s="39">
        <v>1630.6651199999999</v>
      </c>
      <c r="E10" s="39">
        <v>2279.4923857356621</v>
      </c>
      <c r="F10" s="39">
        <v>3865.5903999999996</v>
      </c>
      <c r="G10" s="39">
        <v>6466.1452046184722</v>
      </c>
      <c r="H10" s="40">
        <v>0.39789117813206332</v>
      </c>
      <c r="I10" s="40">
        <v>0.67274453201727558</v>
      </c>
      <c r="J10" s="40">
        <v>0.59119923710427025</v>
      </c>
    </row>
    <row r="11" spans="1:10" ht="11.25" customHeight="1" x14ac:dyDescent="0.2">
      <c r="A11" s="49">
        <v>44470</v>
      </c>
      <c r="B11" s="39">
        <v>0</v>
      </c>
      <c r="C11" s="39">
        <v>0</v>
      </c>
      <c r="D11" s="39">
        <v>2107.8805200000002</v>
      </c>
      <c r="E11" s="39">
        <v>2946.5875834644257</v>
      </c>
      <c r="F11" s="39">
        <v>4996.8584000000001</v>
      </c>
      <c r="G11" s="39">
        <v>8358.467565864592</v>
      </c>
      <c r="H11" s="40">
        <v>0.39789117813206287</v>
      </c>
      <c r="I11" s="40">
        <v>0.67274453201727535</v>
      </c>
      <c r="J11" s="40">
        <v>0.59119923710427047</v>
      </c>
    </row>
    <row r="12" spans="1:10" ht="11.25" customHeight="1" x14ac:dyDescent="0.2">
      <c r="A12" s="49">
        <v>44501</v>
      </c>
      <c r="B12" s="39">
        <v>0</v>
      </c>
      <c r="C12" s="39">
        <v>0</v>
      </c>
      <c r="D12" s="39">
        <v>1950.27324</v>
      </c>
      <c r="E12" s="39">
        <v>2726.2697571430358</v>
      </c>
      <c r="F12" s="39">
        <v>4623.2407999999996</v>
      </c>
      <c r="G12" s="39">
        <v>7733.5007683991744</v>
      </c>
      <c r="H12" s="40">
        <v>0.39789117813206309</v>
      </c>
      <c r="I12" s="40">
        <v>0.67274453201727558</v>
      </c>
      <c r="J12" s="40">
        <v>0.59119923710427025</v>
      </c>
    </row>
    <row r="13" spans="1:10" ht="11.25" customHeight="1" x14ac:dyDescent="0.2">
      <c r="A13" s="49">
        <v>44531</v>
      </c>
      <c r="B13" s="39">
        <v>0</v>
      </c>
      <c r="C13" s="39">
        <v>0</v>
      </c>
      <c r="D13" s="39">
        <v>1748.82384</v>
      </c>
      <c r="E13" s="39">
        <v>2444.6654180430387</v>
      </c>
      <c r="F13" s="39">
        <v>4145.6927999999998</v>
      </c>
      <c r="G13" s="39">
        <v>6934.6849626233879</v>
      </c>
      <c r="H13" s="40">
        <v>0.39789117813206309</v>
      </c>
      <c r="I13" s="40">
        <v>0.67274453201727535</v>
      </c>
      <c r="J13" s="40">
        <v>0.59119923710427025</v>
      </c>
    </row>
    <row r="14" spans="1:10" ht="11.25" customHeight="1" x14ac:dyDescent="0.2">
      <c r="A14" s="49">
        <v>44562</v>
      </c>
      <c r="B14" s="39">
        <v>0</v>
      </c>
      <c r="C14" s="39">
        <v>0</v>
      </c>
      <c r="D14" s="39">
        <v>1922.7901199999999</v>
      </c>
      <c r="E14" s="39">
        <v>2687.8513461474909</v>
      </c>
      <c r="F14" s="39">
        <v>4558.0904</v>
      </c>
      <c r="G14" s="39">
        <v>7624.5207930404358</v>
      </c>
      <c r="H14" s="40">
        <v>0.39789117813206309</v>
      </c>
      <c r="I14" s="40">
        <v>0.67274453201727535</v>
      </c>
      <c r="J14" s="40">
        <v>0.59119923710427025</v>
      </c>
    </row>
    <row r="15" spans="1:10" ht="11.25" customHeight="1" x14ac:dyDescent="0.2">
      <c r="A15" s="49">
        <v>44593</v>
      </c>
      <c r="B15" s="39">
        <v>0</v>
      </c>
      <c r="C15" s="39">
        <v>0</v>
      </c>
      <c r="D15" s="39">
        <v>1913.9095200000002</v>
      </c>
      <c r="E15" s="39">
        <v>2675.4372337509717</v>
      </c>
      <c r="F15" s="39">
        <v>4537.0384000000004</v>
      </c>
      <c r="G15" s="39">
        <v>7589.3061751524083</v>
      </c>
      <c r="H15" s="40">
        <v>0.39789117813206309</v>
      </c>
      <c r="I15" s="40">
        <v>0.67274453201727535</v>
      </c>
      <c r="J15" s="40">
        <v>0.59119923710427025</v>
      </c>
    </row>
    <row r="16" spans="1:10" ht="11.25" customHeight="1" x14ac:dyDescent="0.2">
      <c r="A16" s="49">
        <v>44621</v>
      </c>
      <c r="B16" s="39">
        <v>0</v>
      </c>
      <c r="C16" s="39">
        <v>0</v>
      </c>
      <c r="D16" s="39">
        <v>1962.6126000000002</v>
      </c>
      <c r="E16" s="39">
        <v>2743.5188396308317</v>
      </c>
      <c r="F16" s="39">
        <v>4652.4920000000002</v>
      </c>
      <c r="G16" s="39">
        <v>7782.4305532541184</v>
      </c>
      <c r="H16" s="40">
        <v>0.39789117813206309</v>
      </c>
      <c r="I16" s="40">
        <v>0.67274453201727558</v>
      </c>
      <c r="J16" s="40">
        <v>0.59119923710427025</v>
      </c>
    </row>
    <row r="17" spans="1:10" ht="11.25" customHeight="1" x14ac:dyDescent="0.2">
      <c r="A17" s="49">
        <v>44652</v>
      </c>
      <c r="B17" s="39">
        <v>0</v>
      </c>
      <c r="C17" s="39">
        <v>0</v>
      </c>
      <c r="D17" s="39">
        <v>1623.1867200000002</v>
      </c>
      <c r="E17" s="39">
        <v>2269.0383963491195</v>
      </c>
      <c r="F17" s="39">
        <v>3847.8624</v>
      </c>
      <c r="G17" s="39">
        <v>6436.4907895548704</v>
      </c>
      <c r="H17" s="40">
        <v>0.39789117813206309</v>
      </c>
      <c r="I17" s="40">
        <v>0.67274453201727558</v>
      </c>
      <c r="J17" s="40">
        <v>0.59119923710427047</v>
      </c>
    </row>
    <row r="18" spans="1:10" ht="11.25" customHeight="1" x14ac:dyDescent="0.2">
      <c r="A18" s="49">
        <v>44682</v>
      </c>
      <c r="B18" s="39">
        <v>0</v>
      </c>
      <c r="C18" s="39">
        <v>0</v>
      </c>
      <c r="D18" s="39">
        <v>2078.3408400000003</v>
      </c>
      <c r="E18" s="39">
        <v>2905.2943253875819</v>
      </c>
      <c r="F18" s="39">
        <v>4926.8328000000001</v>
      </c>
      <c r="G18" s="39">
        <v>8241.3326263633626</v>
      </c>
      <c r="H18" s="40">
        <v>0.39789117813206309</v>
      </c>
      <c r="I18" s="40">
        <v>0.67274453201727535</v>
      </c>
      <c r="J18" s="40">
        <v>0.59119923710427003</v>
      </c>
    </row>
    <row r="19" spans="1:10" ht="11.25" customHeight="1" x14ac:dyDescent="0.2">
      <c r="A19" s="49">
        <v>44713</v>
      </c>
      <c r="B19" s="39">
        <v>0</v>
      </c>
      <c r="C19" s="39">
        <v>0</v>
      </c>
      <c r="D19" s="39">
        <v>1969.3431600000001</v>
      </c>
      <c r="E19" s="39">
        <v>2752.9274300787201</v>
      </c>
      <c r="F19" s="39">
        <v>4668.4471999999996</v>
      </c>
      <c r="G19" s="39">
        <v>7809.1195268113597</v>
      </c>
      <c r="H19" s="40">
        <v>0.39789117813206309</v>
      </c>
      <c r="I19" s="40">
        <v>0.67274453201727558</v>
      </c>
      <c r="J19" s="40">
        <v>0.59119923710427047</v>
      </c>
    </row>
    <row r="20" spans="1:10" ht="11.25" customHeight="1" x14ac:dyDescent="0.2">
      <c r="A20" s="49">
        <v>44743</v>
      </c>
      <c r="B20" s="39">
        <v>0</v>
      </c>
      <c r="C20" s="39">
        <v>0</v>
      </c>
      <c r="D20" s="39">
        <v>1775.3721600000001</v>
      </c>
      <c r="E20" s="39">
        <v>2481.7770803652656</v>
      </c>
      <c r="F20" s="39">
        <v>4208.6271999999999</v>
      </c>
      <c r="G20" s="39">
        <v>7039.958136099177</v>
      </c>
      <c r="H20" s="40">
        <v>0.39789117813206309</v>
      </c>
      <c r="I20" s="40">
        <v>0.67274453201727558</v>
      </c>
      <c r="J20" s="40">
        <v>0.59119923710427069</v>
      </c>
    </row>
    <row r="21" spans="1:10" ht="11.25" customHeight="1" x14ac:dyDescent="0.2">
      <c r="A21" s="49">
        <v>44774</v>
      </c>
      <c r="B21" s="39">
        <v>0</v>
      </c>
      <c r="C21" s="39">
        <v>0</v>
      </c>
      <c r="D21" s="39">
        <v>2193.1342799999998</v>
      </c>
      <c r="E21" s="39">
        <v>3065.7630624710141</v>
      </c>
      <c r="F21" s="39">
        <v>5198.9575999999997</v>
      </c>
      <c r="G21" s="39">
        <v>8696.5278975896563</v>
      </c>
      <c r="H21" s="40">
        <v>0.39789117813206332</v>
      </c>
      <c r="I21" s="40">
        <v>0.67274453201727535</v>
      </c>
      <c r="J21" s="40">
        <v>0.59119923710427025</v>
      </c>
    </row>
    <row r="22" spans="1:10" ht="11.25" customHeight="1" x14ac:dyDescent="0.2">
      <c r="A22" s="48" t="s">
        <v>25</v>
      </c>
      <c r="B22" s="39">
        <v>69109.440000000002</v>
      </c>
      <c r="C22" s="39">
        <v>74597.373764474149</v>
      </c>
      <c r="D22" s="39">
        <v>0</v>
      </c>
      <c r="E22" s="39">
        <v>0</v>
      </c>
      <c r="F22" s="39">
        <v>0</v>
      </c>
      <c r="G22" s="39">
        <v>0</v>
      </c>
      <c r="H22" s="40">
        <v>7.9409321859273518E-2</v>
      </c>
      <c r="I22" s="40">
        <v>0</v>
      </c>
      <c r="J22" s="40">
        <v>7.9409321859273518E-2</v>
      </c>
    </row>
    <row r="23" spans="1:10" ht="11.25" customHeight="1" x14ac:dyDescent="0.2">
      <c r="A23" s="49">
        <v>44440</v>
      </c>
      <c r="B23" s="39">
        <v>3282.4</v>
      </c>
      <c r="C23" s="39">
        <v>3543.0531580708798</v>
      </c>
      <c r="D23" s="39">
        <v>0</v>
      </c>
      <c r="E23" s="39">
        <v>0</v>
      </c>
      <c r="F23" s="39">
        <v>0</v>
      </c>
      <c r="G23" s="39">
        <v>0</v>
      </c>
      <c r="H23" s="40">
        <v>7.9409321859273518E-2</v>
      </c>
      <c r="I23" s="40">
        <v>0</v>
      </c>
      <c r="J23" s="40">
        <v>7.9409321859273518E-2</v>
      </c>
    </row>
    <row r="24" spans="1:10" ht="11.25" customHeight="1" x14ac:dyDescent="0.2">
      <c r="A24" s="49">
        <v>44470</v>
      </c>
      <c r="B24" s="39">
        <v>5968</v>
      </c>
      <c r="C24" s="39">
        <v>6441.914832856145</v>
      </c>
      <c r="D24" s="39">
        <v>0</v>
      </c>
      <c r="E24" s="39">
        <v>0</v>
      </c>
      <c r="F24" s="39">
        <v>0</v>
      </c>
      <c r="G24" s="39">
        <v>0</v>
      </c>
      <c r="H24" s="40">
        <v>7.940932185927374E-2</v>
      </c>
      <c r="I24" s="40">
        <v>0</v>
      </c>
      <c r="J24" s="40">
        <v>7.940932185927374E-2</v>
      </c>
    </row>
    <row r="25" spans="1:10" ht="11.25" customHeight="1" x14ac:dyDescent="0.2">
      <c r="A25" s="49">
        <v>44501</v>
      </c>
      <c r="B25" s="39">
        <v>5968</v>
      </c>
      <c r="C25" s="39">
        <v>6441.914832856145</v>
      </c>
      <c r="D25" s="39">
        <v>0</v>
      </c>
      <c r="E25" s="39">
        <v>0</v>
      </c>
      <c r="F25" s="39">
        <v>0</v>
      </c>
      <c r="G25" s="39">
        <v>0</v>
      </c>
      <c r="H25" s="40">
        <v>7.940932185927374E-2</v>
      </c>
      <c r="I25" s="40">
        <v>0</v>
      </c>
      <c r="J25" s="40">
        <v>7.940932185927374E-2</v>
      </c>
    </row>
    <row r="26" spans="1:10" ht="11.25" customHeight="1" x14ac:dyDescent="0.2">
      <c r="A26" s="49">
        <v>44531</v>
      </c>
      <c r="B26" s="39">
        <v>5968</v>
      </c>
      <c r="C26" s="39">
        <v>6441.914832856145</v>
      </c>
      <c r="D26" s="39">
        <v>0</v>
      </c>
      <c r="E26" s="39">
        <v>0</v>
      </c>
      <c r="F26" s="39">
        <v>0</v>
      </c>
      <c r="G26" s="39">
        <v>0</v>
      </c>
      <c r="H26" s="40">
        <v>7.940932185927374E-2</v>
      </c>
      <c r="I26" s="40">
        <v>0</v>
      </c>
      <c r="J26" s="40">
        <v>7.940932185927374E-2</v>
      </c>
    </row>
    <row r="27" spans="1:10" ht="11.25" customHeight="1" x14ac:dyDescent="0.2">
      <c r="A27" s="49">
        <v>44562</v>
      </c>
      <c r="B27" s="39">
        <v>5968</v>
      </c>
      <c r="C27" s="39">
        <v>6441.914832856145</v>
      </c>
      <c r="D27" s="39">
        <v>0</v>
      </c>
      <c r="E27" s="39">
        <v>0</v>
      </c>
      <c r="F27" s="39">
        <v>0</v>
      </c>
      <c r="G27" s="39">
        <v>0</v>
      </c>
      <c r="H27" s="40">
        <v>7.940932185927374E-2</v>
      </c>
      <c r="I27" s="40">
        <v>0</v>
      </c>
      <c r="J27" s="40">
        <v>7.940932185927374E-2</v>
      </c>
    </row>
    <row r="28" spans="1:10" ht="11.25" customHeight="1" x14ac:dyDescent="0.2">
      <c r="A28" s="49">
        <v>44593</v>
      </c>
      <c r="B28" s="39">
        <v>6147.04</v>
      </c>
      <c r="C28" s="39">
        <v>6635.1722778418289</v>
      </c>
      <c r="D28" s="39">
        <v>0</v>
      </c>
      <c r="E28" s="39">
        <v>0</v>
      </c>
      <c r="F28" s="39">
        <v>0</v>
      </c>
      <c r="G28" s="39">
        <v>0</v>
      </c>
      <c r="H28" s="40">
        <v>7.9409321859273518E-2</v>
      </c>
      <c r="I28" s="40">
        <v>0</v>
      </c>
      <c r="J28" s="40">
        <v>7.9409321859273518E-2</v>
      </c>
    </row>
    <row r="29" spans="1:10" ht="11.25" customHeight="1" x14ac:dyDescent="0.2">
      <c r="A29" s="49">
        <v>44621</v>
      </c>
      <c r="B29" s="39">
        <v>5968</v>
      </c>
      <c r="C29" s="39">
        <v>6441.914832856145</v>
      </c>
      <c r="D29" s="39">
        <v>0</v>
      </c>
      <c r="E29" s="39">
        <v>0</v>
      </c>
      <c r="F29" s="39">
        <v>0</v>
      </c>
      <c r="G29" s="39">
        <v>0</v>
      </c>
      <c r="H29" s="40">
        <v>7.940932185927374E-2</v>
      </c>
      <c r="I29" s="40">
        <v>0</v>
      </c>
      <c r="J29" s="40">
        <v>7.940932185927374E-2</v>
      </c>
    </row>
    <row r="30" spans="1:10" ht="11.25" customHeight="1" x14ac:dyDescent="0.2">
      <c r="A30" s="49">
        <v>44652</v>
      </c>
      <c r="B30" s="39">
        <v>5968</v>
      </c>
      <c r="C30" s="39">
        <v>6441.914832856145</v>
      </c>
      <c r="D30" s="39">
        <v>0</v>
      </c>
      <c r="E30" s="39">
        <v>0</v>
      </c>
      <c r="F30" s="39">
        <v>0</v>
      </c>
      <c r="G30" s="39">
        <v>0</v>
      </c>
      <c r="H30" s="40">
        <v>7.940932185927374E-2</v>
      </c>
      <c r="I30" s="40">
        <v>0</v>
      </c>
      <c r="J30" s="40">
        <v>7.940932185927374E-2</v>
      </c>
    </row>
    <row r="31" spans="1:10" ht="11.25" customHeight="1" x14ac:dyDescent="0.2">
      <c r="A31" s="49">
        <v>44682</v>
      </c>
      <c r="B31" s="39">
        <v>5968</v>
      </c>
      <c r="C31" s="39">
        <v>6441.914832856145</v>
      </c>
      <c r="D31" s="39">
        <v>0</v>
      </c>
      <c r="E31" s="39">
        <v>0</v>
      </c>
      <c r="F31" s="39">
        <v>0</v>
      </c>
      <c r="G31" s="39">
        <v>0</v>
      </c>
      <c r="H31" s="40">
        <v>7.940932185927374E-2</v>
      </c>
      <c r="I31" s="40">
        <v>0</v>
      </c>
      <c r="J31" s="40">
        <v>7.940932185927374E-2</v>
      </c>
    </row>
    <row r="32" spans="1:10" ht="11.25" customHeight="1" x14ac:dyDescent="0.2">
      <c r="A32" s="49">
        <v>44713</v>
      </c>
      <c r="B32" s="39">
        <v>5968</v>
      </c>
      <c r="C32" s="39">
        <v>6441.914832856145</v>
      </c>
      <c r="D32" s="39">
        <v>0</v>
      </c>
      <c r="E32" s="39">
        <v>0</v>
      </c>
      <c r="F32" s="39">
        <v>0</v>
      </c>
      <c r="G32" s="39">
        <v>0</v>
      </c>
      <c r="H32" s="40">
        <v>7.940932185927374E-2</v>
      </c>
      <c r="I32" s="40">
        <v>0</v>
      </c>
      <c r="J32" s="40">
        <v>7.940932185927374E-2</v>
      </c>
    </row>
    <row r="33" spans="1:10" ht="11.25" customHeight="1" x14ac:dyDescent="0.2">
      <c r="A33" s="49">
        <v>44743</v>
      </c>
      <c r="B33" s="39">
        <v>5968</v>
      </c>
      <c r="C33" s="39">
        <v>6441.914832856145</v>
      </c>
      <c r="D33" s="39">
        <v>0</v>
      </c>
      <c r="E33" s="39">
        <v>0</v>
      </c>
      <c r="F33" s="39">
        <v>0</v>
      </c>
      <c r="G33" s="39">
        <v>0</v>
      </c>
      <c r="H33" s="40">
        <v>7.940932185927374E-2</v>
      </c>
      <c r="I33" s="40">
        <v>0</v>
      </c>
      <c r="J33" s="40">
        <v>7.940932185927374E-2</v>
      </c>
    </row>
    <row r="34" spans="1:10" ht="11.25" customHeight="1" x14ac:dyDescent="0.2">
      <c r="A34" s="49">
        <v>44774</v>
      </c>
      <c r="B34" s="39">
        <v>5968</v>
      </c>
      <c r="C34" s="39">
        <v>6441.914832856145</v>
      </c>
      <c r="D34" s="39">
        <v>0</v>
      </c>
      <c r="E34" s="39">
        <v>0</v>
      </c>
      <c r="F34" s="39">
        <v>0</v>
      </c>
      <c r="G34" s="39">
        <v>0</v>
      </c>
      <c r="H34" s="40">
        <v>7.940932185927374E-2</v>
      </c>
      <c r="I34" s="40">
        <v>0</v>
      </c>
      <c r="J34" s="40">
        <v>7.940932185927374E-2</v>
      </c>
    </row>
    <row r="35" spans="1:10" ht="11.25" customHeight="1" x14ac:dyDescent="0.2">
      <c r="A35" s="48" t="s">
        <v>40</v>
      </c>
      <c r="B35" s="39">
        <v>0</v>
      </c>
      <c r="C35" s="39">
        <v>0</v>
      </c>
      <c r="D35" s="39">
        <v>32607.116999999995</v>
      </c>
      <c r="E35" s="39">
        <v>34665.820379821758</v>
      </c>
      <c r="F35" s="39">
        <v>3023.9535999999998</v>
      </c>
      <c r="G35" s="39">
        <v>5058.3018494739554</v>
      </c>
      <c r="H35" s="40">
        <v>6.3136626884914948E-2</v>
      </c>
      <c r="I35" s="40">
        <v>0.67274453201727558</v>
      </c>
      <c r="J35" s="40">
        <v>0.11487310261442762</v>
      </c>
    </row>
    <row r="36" spans="1:10" ht="11.25" customHeight="1" x14ac:dyDescent="0.2">
      <c r="A36" s="49">
        <v>44440</v>
      </c>
      <c r="B36" s="39">
        <v>0</v>
      </c>
      <c r="C36" s="39">
        <v>0</v>
      </c>
      <c r="D36" s="39">
        <v>2260.4670000000001</v>
      </c>
      <c r="E36" s="39">
        <v>2403.1852615646621</v>
      </c>
      <c r="F36" s="39">
        <v>209.63359999999997</v>
      </c>
      <c r="G36" s="39">
        <v>350.6634581270967</v>
      </c>
      <c r="H36" s="40">
        <v>6.3136626884914504E-2</v>
      </c>
      <c r="I36" s="40">
        <v>0.67274453201727558</v>
      </c>
      <c r="J36" s="40">
        <v>0.1148731026144274</v>
      </c>
    </row>
    <row r="37" spans="1:10" ht="11.25" customHeight="1" x14ac:dyDescent="0.2">
      <c r="A37" s="49">
        <v>44470</v>
      </c>
      <c r="B37" s="39">
        <v>0</v>
      </c>
      <c r="C37" s="39">
        <v>0</v>
      </c>
      <c r="D37" s="39">
        <v>2611.7235000000001</v>
      </c>
      <c r="E37" s="39">
        <v>2776.6189121460634</v>
      </c>
      <c r="F37" s="39">
        <v>242.2088</v>
      </c>
      <c r="G37" s="39">
        <v>405.15344580646587</v>
      </c>
      <c r="H37" s="40">
        <v>6.3136626884914726E-2</v>
      </c>
      <c r="I37" s="40">
        <v>0.67274453201727558</v>
      </c>
      <c r="J37" s="40">
        <v>0.11487310261442762</v>
      </c>
    </row>
    <row r="38" spans="1:10" ht="11.25" customHeight="1" x14ac:dyDescent="0.2">
      <c r="A38" s="49">
        <v>44501</v>
      </c>
      <c r="B38" s="39">
        <v>0</v>
      </c>
      <c r="C38" s="39">
        <v>0</v>
      </c>
      <c r="D38" s="39">
        <v>2152.9395</v>
      </c>
      <c r="E38" s="39">
        <v>2288.868837917295</v>
      </c>
      <c r="F38" s="39">
        <v>199.66159999999999</v>
      </c>
      <c r="G38" s="39">
        <v>333.98284965382044</v>
      </c>
      <c r="H38" s="40">
        <v>6.3136626884914726E-2</v>
      </c>
      <c r="I38" s="40">
        <v>0.67274453201727558</v>
      </c>
      <c r="J38" s="40">
        <v>0.11487310261442762</v>
      </c>
    </row>
    <row r="39" spans="1:10" ht="11.25" customHeight="1" x14ac:dyDescent="0.2">
      <c r="A39" s="49">
        <v>44531</v>
      </c>
      <c r="B39" s="39">
        <v>0</v>
      </c>
      <c r="C39" s="39">
        <v>0</v>
      </c>
      <c r="D39" s="39">
        <v>2465.9639999999999</v>
      </c>
      <c r="E39" s="39">
        <v>2621.6566489796319</v>
      </c>
      <c r="F39" s="39">
        <v>228.69120000000001</v>
      </c>
      <c r="G39" s="39">
        <v>382.54195432046913</v>
      </c>
      <c r="H39" s="40">
        <v>6.3136626884914726E-2</v>
      </c>
      <c r="I39" s="40">
        <v>0.67274453201727535</v>
      </c>
      <c r="J39" s="40">
        <v>0.11487310261442762</v>
      </c>
    </row>
    <row r="40" spans="1:10" ht="11.25" customHeight="1" x14ac:dyDescent="0.2">
      <c r="A40" s="49">
        <v>44562</v>
      </c>
      <c r="B40" s="39">
        <v>0</v>
      </c>
      <c r="C40" s="39">
        <v>0</v>
      </c>
      <c r="D40" s="39">
        <v>2346.489</v>
      </c>
      <c r="E40" s="39">
        <v>2494.6384004825563</v>
      </c>
      <c r="F40" s="39">
        <v>217.6112</v>
      </c>
      <c r="G40" s="39">
        <v>364.00794490571775</v>
      </c>
      <c r="H40" s="40">
        <v>6.3136626884914504E-2</v>
      </c>
      <c r="I40" s="40">
        <v>0.67274453201727558</v>
      </c>
      <c r="J40" s="40">
        <v>0.11487310261442762</v>
      </c>
    </row>
    <row r="41" spans="1:10" ht="11.25" customHeight="1" x14ac:dyDescent="0.2">
      <c r="A41" s="49">
        <v>44593</v>
      </c>
      <c r="B41" s="39">
        <v>0</v>
      </c>
      <c r="C41" s="39">
        <v>0</v>
      </c>
      <c r="D41" s="39">
        <v>2047.8015</v>
      </c>
      <c r="E41" s="39">
        <v>2177.0927792398684</v>
      </c>
      <c r="F41" s="39">
        <v>189.91119999999998</v>
      </c>
      <c r="G41" s="39">
        <v>317.67292136883918</v>
      </c>
      <c r="H41" s="40">
        <v>6.3136626884914504E-2</v>
      </c>
      <c r="I41" s="40">
        <v>0.67274453201727558</v>
      </c>
      <c r="J41" s="40">
        <v>0.1148731026144274</v>
      </c>
    </row>
    <row r="42" spans="1:10" ht="11.25" customHeight="1" x14ac:dyDescent="0.2">
      <c r="A42" s="49">
        <v>44621</v>
      </c>
      <c r="B42" s="39">
        <v>0</v>
      </c>
      <c r="C42" s="39">
        <v>0</v>
      </c>
      <c r="D42" s="39">
        <v>2487.4694999999997</v>
      </c>
      <c r="E42" s="39">
        <v>2644.5199337091053</v>
      </c>
      <c r="F42" s="39">
        <v>230.68559999999997</v>
      </c>
      <c r="G42" s="39">
        <v>385.87807601512435</v>
      </c>
      <c r="H42" s="40">
        <v>6.3136626884914726E-2</v>
      </c>
      <c r="I42" s="40">
        <v>0.67274453201727558</v>
      </c>
      <c r="J42" s="40">
        <v>0.11487310261442785</v>
      </c>
    </row>
    <row r="43" spans="1:10" ht="11.25" customHeight="1" x14ac:dyDescent="0.2">
      <c r="A43" s="49">
        <v>44652</v>
      </c>
      <c r="B43" s="39">
        <v>0</v>
      </c>
      <c r="C43" s="39">
        <v>0</v>
      </c>
      <c r="D43" s="39">
        <v>1911.6000000000001</v>
      </c>
      <c r="E43" s="39">
        <v>2032.2919759532031</v>
      </c>
      <c r="F43" s="39">
        <v>177.28</v>
      </c>
      <c r="G43" s="39">
        <v>296.54415063602261</v>
      </c>
      <c r="H43" s="40">
        <v>6.3136626884914726E-2</v>
      </c>
      <c r="I43" s="40">
        <v>0.67274453201727558</v>
      </c>
      <c r="J43" s="40">
        <v>0.11487310261442762</v>
      </c>
    </row>
    <row r="44" spans="1:10" ht="11.25" customHeight="1" x14ac:dyDescent="0.2">
      <c r="A44" s="49">
        <v>44682</v>
      </c>
      <c r="B44" s="39">
        <v>0</v>
      </c>
      <c r="C44" s="39">
        <v>0</v>
      </c>
      <c r="D44" s="39">
        <v>2836.3365000000003</v>
      </c>
      <c r="E44" s="39">
        <v>3015.4132193205651</v>
      </c>
      <c r="F44" s="39">
        <v>263.03919999999999</v>
      </c>
      <c r="G44" s="39">
        <v>439.99738350619856</v>
      </c>
      <c r="H44" s="40">
        <v>6.3136626884914726E-2</v>
      </c>
      <c r="I44" s="40">
        <v>0.67274453201727558</v>
      </c>
      <c r="J44" s="40">
        <v>0.11487310261442762</v>
      </c>
    </row>
    <row r="45" spans="1:10" ht="11.25" customHeight="1" x14ac:dyDescent="0.2">
      <c r="A45" s="49">
        <v>44713</v>
      </c>
      <c r="B45" s="39">
        <v>0</v>
      </c>
      <c r="C45" s="39">
        <v>0</v>
      </c>
      <c r="D45" s="39">
        <v>3304.6785</v>
      </c>
      <c r="E45" s="39">
        <v>3513.3247534290995</v>
      </c>
      <c r="F45" s="39">
        <v>306.47280000000001</v>
      </c>
      <c r="G45" s="39">
        <v>512.65070041202409</v>
      </c>
      <c r="H45" s="40">
        <v>6.3136626884914726E-2</v>
      </c>
      <c r="I45" s="40">
        <v>0.67274453201727558</v>
      </c>
      <c r="J45" s="40">
        <v>0.11487310261442762</v>
      </c>
    </row>
    <row r="46" spans="1:10" ht="11.25" customHeight="1" x14ac:dyDescent="0.2">
      <c r="A46" s="49">
        <v>44743</v>
      </c>
      <c r="B46" s="39">
        <v>0</v>
      </c>
      <c r="C46" s="39">
        <v>0</v>
      </c>
      <c r="D46" s="39">
        <v>3565.134</v>
      </c>
      <c r="E46" s="39">
        <v>3790.2245351527235</v>
      </c>
      <c r="F46" s="39">
        <v>330.62720000000002</v>
      </c>
      <c r="G46" s="39">
        <v>553.05484093618213</v>
      </c>
      <c r="H46" s="40">
        <v>6.3136626884914726E-2</v>
      </c>
      <c r="I46" s="40">
        <v>0.67274453201727535</v>
      </c>
      <c r="J46" s="40">
        <v>0.11487310261442762</v>
      </c>
    </row>
    <row r="47" spans="1:10" ht="11.25" customHeight="1" x14ac:dyDescent="0.2">
      <c r="A47" s="49">
        <v>44774</v>
      </c>
      <c r="B47" s="39">
        <v>0</v>
      </c>
      <c r="C47" s="39">
        <v>0</v>
      </c>
      <c r="D47" s="39">
        <v>4616.5140000000001</v>
      </c>
      <c r="E47" s="39">
        <v>4907.9851219269849</v>
      </c>
      <c r="F47" s="39">
        <v>428.13119999999998</v>
      </c>
      <c r="G47" s="39">
        <v>716.15412378599456</v>
      </c>
      <c r="H47" s="40">
        <v>6.3136626884914726E-2</v>
      </c>
      <c r="I47" s="40">
        <v>0.67274453201727558</v>
      </c>
      <c r="J47" s="40">
        <v>0.11487310261442762</v>
      </c>
    </row>
    <row r="48" spans="1:10" ht="11.25" customHeight="1" x14ac:dyDescent="0.2">
      <c r="A48" s="44" t="s">
        <v>47</v>
      </c>
      <c r="B48" s="39">
        <v>204763.57199999993</v>
      </c>
      <c r="C48" s="39">
        <v>221023.70839400255</v>
      </c>
      <c r="D48" s="39">
        <v>765660.67579080001</v>
      </c>
      <c r="E48" s="39">
        <v>886813.82572723192</v>
      </c>
      <c r="F48" s="39">
        <v>566451.89900800004</v>
      </c>
      <c r="G48" s="39">
        <v>947529.31671643408</v>
      </c>
      <c r="H48" s="40">
        <v>0.14160124980724675</v>
      </c>
      <c r="I48" s="40">
        <v>0.67274453201727558</v>
      </c>
      <c r="J48" s="40">
        <v>0.33736661546790647</v>
      </c>
    </row>
    <row r="49" spans="1:10" ht="11.25" customHeight="1" x14ac:dyDescent="0.2">
      <c r="A49" s="45" t="s">
        <v>48</v>
      </c>
      <c r="B49" s="39">
        <v>204763.57199999993</v>
      </c>
      <c r="C49" s="39">
        <v>221023.70839400255</v>
      </c>
      <c r="D49" s="39">
        <v>765660.67579080001</v>
      </c>
      <c r="E49" s="39">
        <v>886813.82572723192</v>
      </c>
      <c r="F49" s="39">
        <v>566451.89900800004</v>
      </c>
      <c r="G49" s="39">
        <v>947529.31671643408</v>
      </c>
      <c r="H49" s="40">
        <v>0.14160124980724675</v>
      </c>
      <c r="I49" s="40">
        <v>0.67274453201727558</v>
      </c>
      <c r="J49" s="40">
        <v>0.33736661546790647</v>
      </c>
    </row>
    <row r="50" spans="1:10" ht="11.25" customHeight="1" x14ac:dyDescent="0.2">
      <c r="A50" s="46" t="s">
        <v>25</v>
      </c>
      <c r="B50" s="39">
        <v>204763.57199999993</v>
      </c>
      <c r="C50" s="39">
        <v>221023.70839400255</v>
      </c>
      <c r="D50" s="39">
        <v>765660.67579080001</v>
      </c>
      <c r="E50" s="39">
        <v>886813.82572723192</v>
      </c>
      <c r="F50" s="39">
        <v>566451.89900800004</v>
      </c>
      <c r="G50" s="39">
        <v>947529.31671643408</v>
      </c>
      <c r="H50" s="40">
        <v>0.14160124980724675</v>
      </c>
      <c r="I50" s="40">
        <v>0.67274453201727558</v>
      </c>
      <c r="J50" s="40">
        <v>0.33736661546790647</v>
      </c>
    </row>
    <row r="51" spans="1:10" ht="11.25" customHeight="1" x14ac:dyDescent="0.2">
      <c r="A51" s="47" t="s">
        <v>25</v>
      </c>
      <c r="B51" s="39">
        <v>204763.57199999993</v>
      </c>
      <c r="C51" s="39">
        <v>221023.70839400255</v>
      </c>
      <c r="D51" s="39">
        <v>765660.67579080001</v>
      </c>
      <c r="E51" s="39">
        <v>886813.82572723192</v>
      </c>
      <c r="F51" s="39">
        <v>566451.89900800004</v>
      </c>
      <c r="G51" s="39">
        <v>947529.31671643408</v>
      </c>
      <c r="H51" s="40">
        <v>0.14160124980724675</v>
      </c>
      <c r="I51" s="40">
        <v>0.67274453201727558</v>
      </c>
      <c r="J51" s="40">
        <v>0.33736661546790647</v>
      </c>
    </row>
    <row r="52" spans="1:10" ht="11.25" customHeight="1" x14ac:dyDescent="0.2">
      <c r="A52" s="48" t="s">
        <v>34</v>
      </c>
      <c r="B52" s="39">
        <v>0</v>
      </c>
      <c r="C52" s="39">
        <v>0</v>
      </c>
      <c r="D52" s="39">
        <v>217508.37220080002</v>
      </c>
      <c r="E52" s="39">
        <v>304053.03466936364</v>
      </c>
      <c r="F52" s="39">
        <v>515616.76593600004</v>
      </c>
      <c r="G52" s="39">
        <v>862495.1258358754</v>
      </c>
      <c r="H52" s="40">
        <v>0.39789117813206309</v>
      </c>
      <c r="I52" s="40">
        <v>0.67274453201727535</v>
      </c>
      <c r="J52" s="40">
        <v>0.59119923710427025</v>
      </c>
    </row>
    <row r="53" spans="1:10" ht="11.25" customHeight="1" x14ac:dyDescent="0.2">
      <c r="A53" s="49">
        <v>44440</v>
      </c>
      <c r="B53" s="39">
        <v>0</v>
      </c>
      <c r="C53" s="39">
        <v>0</v>
      </c>
      <c r="D53" s="39">
        <v>18913.0456032</v>
      </c>
      <c r="E53" s="39">
        <v>26438.379600322685</v>
      </c>
      <c r="F53" s="39">
        <v>44834.519743999997</v>
      </c>
      <c r="G53" s="39">
        <v>74996.697747396582</v>
      </c>
      <c r="H53" s="40">
        <v>0.39789117813206309</v>
      </c>
      <c r="I53" s="40">
        <v>0.67274453201727558</v>
      </c>
      <c r="J53" s="40">
        <v>0.59119923710427047</v>
      </c>
    </row>
    <row r="54" spans="1:10" ht="11.25" customHeight="1" x14ac:dyDescent="0.2">
      <c r="A54" s="49">
        <v>44470</v>
      </c>
      <c r="B54" s="39">
        <v>0</v>
      </c>
      <c r="C54" s="39">
        <v>0</v>
      </c>
      <c r="D54" s="39">
        <v>19499.937347999999</v>
      </c>
      <c r="E54" s="39">
        <v>27258.790392897139</v>
      </c>
      <c r="F54" s="39">
        <v>46225.782159999995</v>
      </c>
      <c r="G54" s="39">
        <v>77323.924346361717</v>
      </c>
      <c r="H54" s="40">
        <v>0.39789117813206309</v>
      </c>
      <c r="I54" s="40">
        <v>0.67274453201727558</v>
      </c>
      <c r="J54" s="40">
        <v>0.59119923710427047</v>
      </c>
    </row>
    <row r="55" spans="1:10" ht="11.25" customHeight="1" x14ac:dyDescent="0.2">
      <c r="A55" s="49">
        <v>44501</v>
      </c>
      <c r="B55" s="39">
        <v>0</v>
      </c>
      <c r="C55" s="39">
        <v>0</v>
      </c>
      <c r="D55" s="39">
        <v>18822.7140096</v>
      </c>
      <c r="E55" s="39">
        <v>26312.105862522636</v>
      </c>
      <c r="F55" s="39">
        <v>44620.383232</v>
      </c>
      <c r="G55" s="39">
        <v>74638.502067843336</v>
      </c>
      <c r="H55" s="40">
        <v>0.39789117813206332</v>
      </c>
      <c r="I55" s="40">
        <v>0.6727445320172758</v>
      </c>
      <c r="J55" s="40">
        <v>0.59119923710427069</v>
      </c>
    </row>
    <row r="56" spans="1:10" ht="11.25" customHeight="1" x14ac:dyDescent="0.2">
      <c r="A56" s="49">
        <v>44531</v>
      </c>
      <c r="B56" s="39">
        <v>0</v>
      </c>
      <c r="C56" s="39">
        <v>0</v>
      </c>
      <c r="D56" s="39">
        <v>19349.501853600003</v>
      </c>
      <c r="E56" s="39">
        <v>27048.497942397447</v>
      </c>
      <c r="F56" s="39">
        <v>45869.165712000002</v>
      </c>
      <c r="G56" s="39">
        <v>76727.396132942304</v>
      </c>
      <c r="H56" s="40">
        <v>0.39789117813206309</v>
      </c>
      <c r="I56" s="40">
        <v>0.67274453201727558</v>
      </c>
      <c r="J56" s="40">
        <v>0.59119923710427047</v>
      </c>
    </row>
    <row r="57" spans="1:10" ht="11.25" customHeight="1" x14ac:dyDescent="0.2">
      <c r="A57" s="49">
        <v>44562</v>
      </c>
      <c r="B57" s="39">
        <v>0</v>
      </c>
      <c r="C57" s="39">
        <v>0</v>
      </c>
      <c r="D57" s="39">
        <v>17648.227550400003</v>
      </c>
      <c r="E57" s="39">
        <v>24670.301602371394</v>
      </c>
      <c r="F57" s="39">
        <v>41836.191967999999</v>
      </c>
      <c r="G57" s="39">
        <v>69981.261354897055</v>
      </c>
      <c r="H57" s="40">
        <v>0.39789117813206309</v>
      </c>
      <c r="I57" s="40">
        <v>0.67274453201727535</v>
      </c>
      <c r="J57" s="40">
        <v>0.59119923710427025</v>
      </c>
    </row>
    <row r="58" spans="1:10" ht="11.25" customHeight="1" x14ac:dyDescent="0.2">
      <c r="A58" s="49">
        <v>44593</v>
      </c>
      <c r="B58" s="39">
        <v>0</v>
      </c>
      <c r="C58" s="39">
        <v>0</v>
      </c>
      <c r="D58" s="39">
        <v>16997.804928000001</v>
      </c>
      <c r="E58" s="39">
        <v>23761.081556460907</v>
      </c>
      <c r="F58" s="39">
        <v>40294.32576</v>
      </c>
      <c r="G58" s="39">
        <v>67402.11308636285</v>
      </c>
      <c r="H58" s="40">
        <v>0.39789117813206287</v>
      </c>
      <c r="I58" s="40">
        <v>0.67274453201727558</v>
      </c>
      <c r="J58" s="40">
        <v>0.59119923710427025</v>
      </c>
    </row>
    <row r="59" spans="1:10" ht="11.25" customHeight="1" x14ac:dyDescent="0.2">
      <c r="A59" s="49">
        <v>44621</v>
      </c>
      <c r="B59" s="39">
        <v>0</v>
      </c>
      <c r="C59" s="39">
        <v>0</v>
      </c>
      <c r="D59" s="39">
        <v>16726.634404799999</v>
      </c>
      <c r="E59" s="39">
        <v>23382.014674310172</v>
      </c>
      <c r="F59" s="39">
        <v>39651.499616000001</v>
      </c>
      <c r="G59" s="39">
        <v>66326.829168949102</v>
      </c>
      <c r="H59" s="40">
        <v>0.39789117813206309</v>
      </c>
      <c r="I59" s="40">
        <v>0.67274453201727558</v>
      </c>
      <c r="J59" s="40">
        <v>0.59119923710427025</v>
      </c>
    </row>
    <row r="60" spans="1:10" ht="11.25" customHeight="1" x14ac:dyDescent="0.2">
      <c r="A60" s="49">
        <v>44652</v>
      </c>
      <c r="B60" s="39">
        <v>0</v>
      </c>
      <c r="C60" s="39">
        <v>0</v>
      </c>
      <c r="D60" s="39">
        <v>16458.0121464</v>
      </c>
      <c r="E60" s="39">
        <v>23006.509989042901</v>
      </c>
      <c r="F60" s="39">
        <v>39014.714287999996</v>
      </c>
      <c r="G60" s="39">
        <v>65261.649993468272</v>
      </c>
      <c r="H60" s="40">
        <v>0.39789117813206309</v>
      </c>
      <c r="I60" s="40">
        <v>0.6727445320172758</v>
      </c>
      <c r="J60" s="40">
        <v>0.59119923710427047</v>
      </c>
    </row>
    <row r="61" spans="1:10" ht="11.25" customHeight="1" x14ac:dyDescent="0.2">
      <c r="A61" s="49">
        <v>44682</v>
      </c>
      <c r="B61" s="39">
        <v>0</v>
      </c>
      <c r="C61" s="39">
        <v>0</v>
      </c>
      <c r="D61" s="39">
        <v>18112.8025848</v>
      </c>
      <c r="E61" s="39">
        <v>25319.72694453955</v>
      </c>
      <c r="F61" s="39">
        <v>42937.495215999996</v>
      </c>
      <c r="G61" s="39">
        <v>71823.460341081925</v>
      </c>
      <c r="H61" s="40">
        <v>0.39789117813206309</v>
      </c>
      <c r="I61" s="40">
        <v>0.67274453201727558</v>
      </c>
      <c r="J61" s="40">
        <v>0.59119923710427069</v>
      </c>
    </row>
    <row r="62" spans="1:10" ht="11.25" customHeight="1" x14ac:dyDescent="0.2">
      <c r="A62" s="49">
        <v>44713</v>
      </c>
      <c r="B62" s="39">
        <v>0</v>
      </c>
      <c r="C62" s="39">
        <v>0</v>
      </c>
      <c r="D62" s="39">
        <v>17420.553271200002</v>
      </c>
      <c r="E62" s="39">
        <v>24352.037735990136</v>
      </c>
      <c r="F62" s="39">
        <v>41296.476304000003</v>
      </c>
      <c r="G62" s="39">
        <v>69078.454929096988</v>
      </c>
      <c r="H62" s="40">
        <v>0.39789117813206309</v>
      </c>
      <c r="I62" s="40">
        <v>0.67274453201727535</v>
      </c>
      <c r="J62" s="40">
        <v>0.59119923710427003</v>
      </c>
    </row>
    <row r="63" spans="1:10" ht="11.25" customHeight="1" x14ac:dyDescent="0.2">
      <c r="A63" s="49">
        <v>44743</v>
      </c>
      <c r="B63" s="39">
        <v>0</v>
      </c>
      <c r="C63" s="39">
        <v>0</v>
      </c>
      <c r="D63" s="39">
        <v>18964.713868800001</v>
      </c>
      <c r="E63" s="39">
        <v>26510.606212994309</v>
      </c>
      <c r="F63" s="39">
        <v>44957.002496000001</v>
      </c>
      <c r="G63" s="39">
        <v>75201.580101071013</v>
      </c>
      <c r="H63" s="40">
        <v>0.39789117813206309</v>
      </c>
      <c r="I63" s="40">
        <v>0.67274453201727558</v>
      </c>
      <c r="J63" s="40">
        <v>0.59119923710427069</v>
      </c>
    </row>
    <row r="64" spans="1:10" ht="11.25" customHeight="1" x14ac:dyDescent="0.2">
      <c r="A64" s="49">
        <v>44774</v>
      </c>
      <c r="B64" s="39">
        <v>0</v>
      </c>
      <c r="C64" s="39">
        <v>0</v>
      </c>
      <c r="D64" s="39">
        <v>18594.424632000002</v>
      </c>
      <c r="E64" s="39">
        <v>25992.982155514335</v>
      </c>
      <c r="F64" s="39">
        <v>44079.209439999999</v>
      </c>
      <c r="G64" s="39">
        <v>73733.256566404263</v>
      </c>
      <c r="H64" s="40">
        <v>0.39789117813206309</v>
      </c>
      <c r="I64" s="40">
        <v>0.67274453201727535</v>
      </c>
      <c r="J64" s="40">
        <v>0.59119923710427025</v>
      </c>
    </row>
    <row r="65" spans="1:10" ht="11.25" customHeight="1" x14ac:dyDescent="0.2">
      <c r="A65" s="48" t="s">
        <v>25</v>
      </c>
      <c r="B65" s="39">
        <v>204763.57199999993</v>
      </c>
      <c r="C65" s="39">
        <v>221023.70839400255</v>
      </c>
      <c r="D65" s="39">
        <v>0</v>
      </c>
      <c r="E65" s="39">
        <v>0</v>
      </c>
      <c r="F65" s="39">
        <v>0</v>
      </c>
      <c r="G65" s="39">
        <v>0</v>
      </c>
      <c r="H65" s="40">
        <v>7.9409321859273962E-2</v>
      </c>
      <c r="I65" s="40">
        <v>0</v>
      </c>
      <c r="J65" s="40">
        <v>7.9409321859273962E-2</v>
      </c>
    </row>
    <row r="66" spans="1:10" ht="11.25" customHeight="1" x14ac:dyDescent="0.2">
      <c r="A66" s="49">
        <v>44440</v>
      </c>
      <c r="B66" s="39">
        <v>22979.784</v>
      </c>
      <c r="C66" s="39">
        <v>24804.593063912587</v>
      </c>
      <c r="D66" s="39">
        <v>0</v>
      </c>
      <c r="E66" s="39">
        <v>0</v>
      </c>
      <c r="F66" s="39">
        <v>0</v>
      </c>
      <c r="G66" s="39">
        <v>0</v>
      </c>
      <c r="H66" s="40">
        <v>7.940932185927374E-2</v>
      </c>
      <c r="I66" s="40">
        <v>0</v>
      </c>
      <c r="J66" s="40">
        <v>7.940932185927374E-2</v>
      </c>
    </row>
    <row r="67" spans="1:10" ht="11.25" customHeight="1" x14ac:dyDescent="0.2">
      <c r="A67" s="49">
        <v>44470</v>
      </c>
      <c r="B67" s="39">
        <v>22979.784</v>
      </c>
      <c r="C67" s="39">
        <v>24804.593063912587</v>
      </c>
      <c r="D67" s="39">
        <v>0</v>
      </c>
      <c r="E67" s="39">
        <v>0</v>
      </c>
      <c r="F67" s="39">
        <v>0</v>
      </c>
      <c r="G67" s="39">
        <v>0</v>
      </c>
      <c r="H67" s="40">
        <v>7.940932185927374E-2</v>
      </c>
      <c r="I67" s="40">
        <v>0</v>
      </c>
      <c r="J67" s="40">
        <v>7.940932185927374E-2</v>
      </c>
    </row>
    <row r="68" spans="1:10" ht="11.25" customHeight="1" x14ac:dyDescent="0.2">
      <c r="A68" s="49">
        <v>44501</v>
      </c>
      <c r="B68" s="39">
        <v>22979.784</v>
      </c>
      <c r="C68" s="39">
        <v>24804.593063912587</v>
      </c>
      <c r="D68" s="39">
        <v>0</v>
      </c>
      <c r="E68" s="39">
        <v>0</v>
      </c>
      <c r="F68" s="39">
        <v>0</v>
      </c>
      <c r="G68" s="39">
        <v>0</v>
      </c>
      <c r="H68" s="40">
        <v>7.940932185927374E-2</v>
      </c>
      <c r="I68" s="40">
        <v>0</v>
      </c>
      <c r="J68" s="40">
        <v>7.940932185927374E-2</v>
      </c>
    </row>
    <row r="69" spans="1:10" ht="11.25" customHeight="1" x14ac:dyDescent="0.2">
      <c r="A69" s="49">
        <v>44531</v>
      </c>
      <c r="B69" s="39">
        <v>22979.784</v>
      </c>
      <c r="C69" s="39">
        <v>24804.593063912587</v>
      </c>
      <c r="D69" s="39">
        <v>0</v>
      </c>
      <c r="E69" s="39">
        <v>0</v>
      </c>
      <c r="F69" s="39">
        <v>0</v>
      </c>
      <c r="G69" s="39">
        <v>0</v>
      </c>
      <c r="H69" s="40">
        <v>7.940932185927374E-2</v>
      </c>
      <c r="I69" s="40">
        <v>0</v>
      </c>
      <c r="J69" s="40">
        <v>7.940932185927374E-2</v>
      </c>
    </row>
    <row r="70" spans="1:10" ht="11.25" customHeight="1" x14ac:dyDescent="0.2">
      <c r="A70" s="49">
        <v>44562</v>
      </c>
      <c r="B70" s="39">
        <v>14102.383999999998</v>
      </c>
      <c r="C70" s="39">
        <v>15222.24475003907</v>
      </c>
      <c r="D70" s="39">
        <v>0</v>
      </c>
      <c r="E70" s="39">
        <v>0</v>
      </c>
      <c r="F70" s="39">
        <v>0</v>
      </c>
      <c r="G70" s="39">
        <v>0</v>
      </c>
      <c r="H70" s="40">
        <v>7.940932185927374E-2</v>
      </c>
      <c r="I70" s="40">
        <v>0</v>
      </c>
      <c r="J70" s="40">
        <v>7.940932185927374E-2</v>
      </c>
    </row>
    <row r="71" spans="1:10" ht="11.25" customHeight="1" x14ac:dyDescent="0.2">
      <c r="A71" s="49">
        <v>44593</v>
      </c>
      <c r="B71" s="39">
        <v>14102.383999999998</v>
      </c>
      <c r="C71" s="39">
        <v>15222.24475003907</v>
      </c>
      <c r="D71" s="39">
        <v>0</v>
      </c>
      <c r="E71" s="39">
        <v>0</v>
      </c>
      <c r="F71" s="39">
        <v>0</v>
      </c>
      <c r="G71" s="39">
        <v>0</v>
      </c>
      <c r="H71" s="40">
        <v>7.940932185927374E-2</v>
      </c>
      <c r="I71" s="40">
        <v>0</v>
      </c>
      <c r="J71" s="40">
        <v>7.940932185927374E-2</v>
      </c>
    </row>
    <row r="72" spans="1:10" ht="11.25" customHeight="1" x14ac:dyDescent="0.2">
      <c r="A72" s="49">
        <v>44621</v>
      </c>
      <c r="B72" s="39">
        <v>14102.383999999998</v>
      </c>
      <c r="C72" s="39">
        <v>15222.24475003907</v>
      </c>
      <c r="D72" s="39">
        <v>0</v>
      </c>
      <c r="E72" s="39">
        <v>0</v>
      </c>
      <c r="F72" s="39">
        <v>0</v>
      </c>
      <c r="G72" s="39">
        <v>0</v>
      </c>
      <c r="H72" s="40">
        <v>7.940932185927374E-2</v>
      </c>
      <c r="I72" s="40">
        <v>0</v>
      </c>
      <c r="J72" s="40">
        <v>7.940932185927374E-2</v>
      </c>
    </row>
    <row r="73" spans="1:10" ht="11.25" customHeight="1" x14ac:dyDescent="0.2">
      <c r="A73" s="49">
        <v>44652</v>
      </c>
      <c r="B73" s="39">
        <v>14102.383999999998</v>
      </c>
      <c r="C73" s="39">
        <v>15222.24475003907</v>
      </c>
      <c r="D73" s="39">
        <v>0</v>
      </c>
      <c r="E73" s="39">
        <v>0</v>
      </c>
      <c r="F73" s="39">
        <v>0</v>
      </c>
      <c r="G73" s="39">
        <v>0</v>
      </c>
      <c r="H73" s="40">
        <v>7.940932185927374E-2</v>
      </c>
      <c r="I73" s="40">
        <v>0</v>
      </c>
      <c r="J73" s="40">
        <v>7.940932185927374E-2</v>
      </c>
    </row>
    <row r="74" spans="1:10" ht="11.25" customHeight="1" x14ac:dyDescent="0.2">
      <c r="A74" s="49">
        <v>44682</v>
      </c>
      <c r="B74" s="39">
        <v>14102.383999999998</v>
      </c>
      <c r="C74" s="39">
        <v>15222.24475003907</v>
      </c>
      <c r="D74" s="39">
        <v>0</v>
      </c>
      <c r="E74" s="39">
        <v>0</v>
      </c>
      <c r="F74" s="39">
        <v>0</v>
      </c>
      <c r="G74" s="39">
        <v>0</v>
      </c>
      <c r="H74" s="40">
        <v>7.940932185927374E-2</v>
      </c>
      <c r="I74" s="40">
        <v>0</v>
      </c>
      <c r="J74" s="40">
        <v>7.940932185927374E-2</v>
      </c>
    </row>
    <row r="75" spans="1:10" ht="11.25" customHeight="1" x14ac:dyDescent="0.2">
      <c r="A75" s="49">
        <v>44713</v>
      </c>
      <c r="B75" s="39">
        <v>14102.383999999998</v>
      </c>
      <c r="C75" s="39">
        <v>15222.24475003907</v>
      </c>
      <c r="D75" s="39">
        <v>0</v>
      </c>
      <c r="E75" s="39">
        <v>0</v>
      </c>
      <c r="F75" s="39">
        <v>0</v>
      </c>
      <c r="G75" s="39">
        <v>0</v>
      </c>
      <c r="H75" s="40">
        <v>7.940932185927374E-2</v>
      </c>
      <c r="I75" s="40">
        <v>0</v>
      </c>
      <c r="J75" s="40">
        <v>7.940932185927374E-2</v>
      </c>
    </row>
    <row r="76" spans="1:10" ht="11.25" customHeight="1" x14ac:dyDescent="0.2">
      <c r="A76" s="49">
        <v>44743</v>
      </c>
      <c r="B76" s="39">
        <v>14127.748</v>
      </c>
      <c r="C76" s="39">
        <v>15249.622888078708</v>
      </c>
      <c r="D76" s="39">
        <v>0</v>
      </c>
      <c r="E76" s="39">
        <v>0</v>
      </c>
      <c r="F76" s="39">
        <v>0</v>
      </c>
      <c r="G76" s="39">
        <v>0</v>
      </c>
      <c r="H76" s="40">
        <v>7.9409321859273518E-2</v>
      </c>
      <c r="I76" s="40">
        <v>0</v>
      </c>
      <c r="J76" s="40">
        <v>7.9409321859273518E-2</v>
      </c>
    </row>
    <row r="77" spans="1:10" ht="11.25" customHeight="1" x14ac:dyDescent="0.2">
      <c r="A77" s="49">
        <v>44774</v>
      </c>
      <c r="B77" s="39">
        <v>14102.383999999998</v>
      </c>
      <c r="C77" s="39">
        <v>15222.24475003907</v>
      </c>
      <c r="D77" s="39">
        <v>0</v>
      </c>
      <c r="E77" s="39">
        <v>0</v>
      </c>
      <c r="F77" s="39">
        <v>0</v>
      </c>
      <c r="G77" s="39">
        <v>0</v>
      </c>
      <c r="H77" s="40">
        <v>7.940932185927374E-2</v>
      </c>
      <c r="I77" s="40">
        <v>0</v>
      </c>
      <c r="J77" s="40">
        <v>7.940932185927374E-2</v>
      </c>
    </row>
    <row r="78" spans="1:10" ht="11.25" customHeight="1" x14ac:dyDescent="0.2">
      <c r="A78" s="48" t="s">
        <v>40</v>
      </c>
      <c r="B78" s="39">
        <v>0</v>
      </c>
      <c r="C78" s="39">
        <v>0</v>
      </c>
      <c r="D78" s="39">
        <v>548152.30359000002</v>
      </c>
      <c r="E78" s="39">
        <v>582760.79105786828</v>
      </c>
      <c r="F78" s="39">
        <v>50835.133071999997</v>
      </c>
      <c r="G78" s="39">
        <v>85034.190880558555</v>
      </c>
      <c r="H78" s="40">
        <v>6.3136626884914504E-2</v>
      </c>
      <c r="I78" s="40">
        <v>0.67274453201727535</v>
      </c>
      <c r="J78" s="40">
        <v>0.1148731026144274</v>
      </c>
    </row>
    <row r="79" spans="1:10" ht="11.25" customHeight="1" x14ac:dyDescent="0.2">
      <c r="A79" s="49">
        <v>44440</v>
      </c>
      <c r="B79" s="39">
        <v>0</v>
      </c>
      <c r="C79" s="39">
        <v>0</v>
      </c>
      <c r="D79" s="39">
        <v>47418.050429999996</v>
      </c>
      <c r="E79" s="39">
        <v>50411.866187608975</v>
      </c>
      <c r="F79" s="39">
        <v>4397.505744</v>
      </c>
      <c r="G79" s="39">
        <v>7355.9036877905601</v>
      </c>
      <c r="H79" s="40">
        <v>6.3136626884914726E-2</v>
      </c>
      <c r="I79" s="40">
        <v>0.67274453201727535</v>
      </c>
      <c r="J79" s="40">
        <v>0.11487310261442762</v>
      </c>
    </row>
    <row r="80" spans="1:10" ht="11.25" customHeight="1" x14ac:dyDescent="0.2">
      <c r="A80" s="49">
        <v>44470</v>
      </c>
      <c r="B80" s="39">
        <v>0</v>
      </c>
      <c r="C80" s="39">
        <v>0</v>
      </c>
      <c r="D80" s="39">
        <v>44745.155729999999</v>
      </c>
      <c r="E80" s="39">
        <v>47570.213932232407</v>
      </c>
      <c r="F80" s="39">
        <v>4149.6239839999998</v>
      </c>
      <c r="G80" s="39">
        <v>6941.2608291637416</v>
      </c>
      <c r="H80" s="40">
        <v>6.3136626884914504E-2</v>
      </c>
      <c r="I80" s="40">
        <v>0.67274453201727535</v>
      </c>
      <c r="J80" s="40">
        <v>0.11487310261442762</v>
      </c>
    </row>
    <row r="81" spans="1:10" ht="11.25" customHeight="1" x14ac:dyDescent="0.2">
      <c r="A81" s="49">
        <v>44501</v>
      </c>
      <c r="B81" s="39">
        <v>0</v>
      </c>
      <c r="C81" s="39">
        <v>0</v>
      </c>
      <c r="D81" s="39">
        <v>44100.51642</v>
      </c>
      <c r="E81" s="39">
        <v>46884.874270641594</v>
      </c>
      <c r="F81" s="39">
        <v>4089.8407360000001</v>
      </c>
      <c r="G81" s="39">
        <v>6841.2587279655099</v>
      </c>
      <c r="H81" s="40">
        <v>6.3136626884914726E-2</v>
      </c>
      <c r="I81" s="40">
        <v>0.67274453201727558</v>
      </c>
      <c r="J81" s="40">
        <v>0.11487310261442762</v>
      </c>
    </row>
    <row r="82" spans="1:10" ht="11.25" customHeight="1" x14ac:dyDescent="0.2">
      <c r="A82" s="49">
        <v>44531</v>
      </c>
      <c r="B82" s="39">
        <v>0</v>
      </c>
      <c r="C82" s="39">
        <v>0</v>
      </c>
      <c r="D82" s="39">
        <v>51045.550380000001</v>
      </c>
      <c r="E82" s="39">
        <v>54268.394248477176</v>
      </c>
      <c r="F82" s="39">
        <v>4733.9167039999993</v>
      </c>
      <c r="G82" s="39">
        <v>7918.6332816412432</v>
      </c>
      <c r="H82" s="40">
        <v>6.3136626884914726E-2</v>
      </c>
      <c r="I82" s="40">
        <v>0.6727445320172758</v>
      </c>
      <c r="J82" s="40">
        <v>0.1148731026144274</v>
      </c>
    </row>
    <row r="83" spans="1:10" ht="11.25" customHeight="1" x14ac:dyDescent="0.2">
      <c r="A83" s="49">
        <v>44562</v>
      </c>
      <c r="B83" s="39">
        <v>0</v>
      </c>
      <c r="C83" s="39">
        <v>0</v>
      </c>
      <c r="D83" s="39">
        <v>44167.900320000001</v>
      </c>
      <c r="E83" s="39">
        <v>46956.512562793941</v>
      </c>
      <c r="F83" s="39">
        <v>4096.0898559999996</v>
      </c>
      <c r="G83" s="39">
        <v>6851.7119092754292</v>
      </c>
      <c r="H83" s="40">
        <v>6.3136626884914504E-2</v>
      </c>
      <c r="I83" s="40">
        <v>0.67274453201727558</v>
      </c>
      <c r="J83" s="40">
        <v>0.11487310261442762</v>
      </c>
    </row>
    <row r="84" spans="1:10" ht="11.25" customHeight="1" x14ac:dyDescent="0.2">
      <c r="A84" s="49">
        <v>44593</v>
      </c>
      <c r="B84" s="39">
        <v>0</v>
      </c>
      <c r="C84" s="39">
        <v>0</v>
      </c>
      <c r="D84" s="39">
        <v>41719.618620000001</v>
      </c>
      <c r="E84" s="39">
        <v>44353.654614591876</v>
      </c>
      <c r="F84" s="39">
        <v>3869.0384959999997</v>
      </c>
      <c r="G84" s="39">
        <v>6471.9129883483429</v>
      </c>
      <c r="H84" s="40">
        <v>6.3136626884914504E-2</v>
      </c>
      <c r="I84" s="40">
        <v>0.67274453201727558</v>
      </c>
      <c r="J84" s="40">
        <v>0.1148731026144274</v>
      </c>
    </row>
    <row r="85" spans="1:10" ht="11.25" customHeight="1" x14ac:dyDescent="0.2">
      <c r="A85" s="49">
        <v>44621</v>
      </c>
      <c r="B85" s="39">
        <v>0</v>
      </c>
      <c r="C85" s="39">
        <v>0</v>
      </c>
      <c r="D85" s="39">
        <v>46252.308960000002</v>
      </c>
      <c r="E85" s="39">
        <v>49172.523733373317</v>
      </c>
      <c r="F85" s="39">
        <v>4289.3959679999998</v>
      </c>
      <c r="G85" s="39">
        <v>7175.0636511289485</v>
      </c>
      <c r="H85" s="40">
        <v>6.3136626884914726E-2</v>
      </c>
      <c r="I85" s="40">
        <v>0.67274453201727558</v>
      </c>
      <c r="J85" s="40">
        <v>0.11487310261442762</v>
      </c>
    </row>
    <row r="86" spans="1:10" ht="11.25" customHeight="1" x14ac:dyDescent="0.2">
      <c r="A86" s="49">
        <v>44652</v>
      </c>
      <c r="B86" s="39">
        <v>0</v>
      </c>
      <c r="C86" s="39">
        <v>0</v>
      </c>
      <c r="D86" s="39">
        <v>41292.853920000001</v>
      </c>
      <c r="E86" s="39">
        <v>43899.945430960324</v>
      </c>
      <c r="F86" s="39">
        <v>3829.460736</v>
      </c>
      <c r="G86" s="39">
        <v>6405.7095067188511</v>
      </c>
      <c r="H86" s="40">
        <v>6.3136626884914504E-2</v>
      </c>
      <c r="I86" s="40">
        <v>0.67274453201727535</v>
      </c>
      <c r="J86" s="40">
        <v>0.1148731026144274</v>
      </c>
    </row>
    <row r="87" spans="1:10" ht="11.25" customHeight="1" x14ac:dyDescent="0.2">
      <c r="A87" s="49">
        <v>44682</v>
      </c>
      <c r="B87" s="39">
        <v>0</v>
      </c>
      <c r="C87" s="39">
        <v>0</v>
      </c>
      <c r="D87" s="39">
        <v>46431.999360000002</v>
      </c>
      <c r="E87" s="39">
        <v>49363.559179112919</v>
      </c>
      <c r="F87" s="39">
        <v>4306.0602879999997</v>
      </c>
      <c r="G87" s="39">
        <v>7202.9388012887348</v>
      </c>
      <c r="H87" s="40">
        <v>6.3136626884914726E-2</v>
      </c>
      <c r="I87" s="40">
        <v>0.67274453201727558</v>
      </c>
      <c r="J87" s="40">
        <v>0.11487310261442762</v>
      </c>
    </row>
    <row r="88" spans="1:10" ht="11.25" customHeight="1" x14ac:dyDescent="0.2">
      <c r="A88" s="49">
        <v>44713</v>
      </c>
      <c r="B88" s="39">
        <v>0</v>
      </c>
      <c r="C88" s="39">
        <v>0</v>
      </c>
      <c r="D88" s="39">
        <v>47076.63867</v>
      </c>
      <c r="E88" s="39">
        <v>50048.89884070374</v>
      </c>
      <c r="F88" s="39">
        <v>4365.8435360000003</v>
      </c>
      <c r="G88" s="39">
        <v>7302.9409024869674</v>
      </c>
      <c r="H88" s="40">
        <v>6.3136626884914726E-2</v>
      </c>
      <c r="I88" s="40">
        <v>0.67274453201727535</v>
      </c>
      <c r="J88" s="40">
        <v>0.11487310261442762</v>
      </c>
    </row>
    <row r="89" spans="1:10" ht="11.25" customHeight="1" x14ac:dyDescent="0.2">
      <c r="A89" s="49">
        <v>44743</v>
      </c>
      <c r="B89" s="39">
        <v>0</v>
      </c>
      <c r="C89" s="39">
        <v>0</v>
      </c>
      <c r="D89" s="39">
        <v>45162.93591</v>
      </c>
      <c r="E89" s="39">
        <v>48014.37134357699</v>
      </c>
      <c r="F89" s="39">
        <v>4188.368528</v>
      </c>
      <c r="G89" s="39">
        <v>7006.0705532852453</v>
      </c>
      <c r="H89" s="40">
        <v>6.3136626884914726E-2</v>
      </c>
      <c r="I89" s="40">
        <v>0.67274453201727558</v>
      </c>
      <c r="J89" s="40">
        <v>0.11487310261442762</v>
      </c>
    </row>
    <row r="90" spans="1:10" ht="11.25" customHeight="1" x14ac:dyDescent="0.2">
      <c r="A90" s="49">
        <v>44774</v>
      </c>
      <c r="B90" s="39">
        <v>0</v>
      </c>
      <c r="C90" s="39">
        <v>0</v>
      </c>
      <c r="D90" s="39">
        <v>48738.774870000001</v>
      </c>
      <c r="E90" s="39">
        <v>51815.976713795048</v>
      </c>
      <c r="F90" s="39">
        <v>4519.9884959999999</v>
      </c>
      <c r="G90" s="39">
        <v>7560.7860414649886</v>
      </c>
      <c r="H90" s="40">
        <v>6.3136626884914726E-2</v>
      </c>
      <c r="I90" s="40">
        <v>0.67274453201727535</v>
      </c>
      <c r="J90" s="40">
        <v>0.11487310261442762</v>
      </c>
    </row>
    <row r="91" spans="1:10" ht="11.25" customHeight="1" x14ac:dyDescent="0.2">
      <c r="A91" s="42" t="s">
        <v>22</v>
      </c>
      <c r="B91" s="39">
        <v>0</v>
      </c>
      <c r="C91" s="39">
        <v>0</v>
      </c>
      <c r="D91" s="39">
        <v>2508747.6745399982</v>
      </c>
      <c r="E91" s="39">
        <v>2691160.8998798635</v>
      </c>
      <c r="F91" s="39">
        <v>1210675.4348800001</v>
      </c>
      <c r="G91" s="39">
        <v>2025150.7137431577</v>
      </c>
      <c r="H91" s="40">
        <v>7.2710869726391403E-2</v>
      </c>
      <c r="I91" s="40">
        <v>0.67274453201727513</v>
      </c>
      <c r="J91" s="40">
        <v>0.26802234509923117</v>
      </c>
    </row>
    <row r="92" spans="1:10" ht="11.25" customHeight="1" x14ac:dyDescent="0.2">
      <c r="A92" s="43" t="s">
        <v>33</v>
      </c>
      <c r="B92" s="39">
        <v>0</v>
      </c>
      <c r="C92" s="39">
        <v>0</v>
      </c>
      <c r="D92" s="39">
        <v>302.42209000000003</v>
      </c>
      <c r="E92" s="39">
        <v>328.36630300649989</v>
      </c>
      <c r="F92" s="39">
        <v>156.44959999999995</v>
      </c>
      <c r="G92" s="39">
        <v>261.70021293628986</v>
      </c>
      <c r="H92" s="40">
        <v>8.5788088451144162E-2</v>
      </c>
      <c r="I92" s="40">
        <v>0.67274453201727558</v>
      </c>
      <c r="J92" s="40">
        <v>0.28590743077392666</v>
      </c>
    </row>
    <row r="93" spans="1:10" ht="11.25" customHeight="1" x14ac:dyDescent="0.2">
      <c r="A93" s="44" t="s">
        <v>24</v>
      </c>
      <c r="B93" s="39">
        <v>0</v>
      </c>
      <c r="C93" s="39">
        <v>0</v>
      </c>
      <c r="D93" s="39">
        <v>302.42209000000003</v>
      </c>
      <c r="E93" s="39">
        <v>328.36630300649989</v>
      </c>
      <c r="F93" s="39">
        <v>156.44959999999995</v>
      </c>
      <c r="G93" s="39">
        <v>261.70021293628986</v>
      </c>
      <c r="H93" s="40">
        <v>8.5788088451144162E-2</v>
      </c>
      <c r="I93" s="40">
        <v>0.67274453201727558</v>
      </c>
      <c r="J93" s="40">
        <v>0.28590743077392666</v>
      </c>
    </row>
    <row r="94" spans="1:10" ht="11.25" customHeight="1" x14ac:dyDescent="0.2">
      <c r="A94" s="45" t="s">
        <v>24</v>
      </c>
      <c r="B94" s="39">
        <v>0</v>
      </c>
      <c r="C94" s="39">
        <v>0</v>
      </c>
      <c r="D94" s="39">
        <v>302.42209000000003</v>
      </c>
      <c r="E94" s="39">
        <v>328.36630300649989</v>
      </c>
      <c r="F94" s="39">
        <v>156.44959999999995</v>
      </c>
      <c r="G94" s="39">
        <v>261.70021293628986</v>
      </c>
      <c r="H94" s="40">
        <v>8.5788088451144162E-2</v>
      </c>
      <c r="I94" s="40">
        <v>0.67274453201727558</v>
      </c>
      <c r="J94" s="40">
        <v>0.28590743077392666</v>
      </c>
    </row>
    <row r="95" spans="1:10" ht="11.25" customHeight="1" x14ac:dyDescent="0.2">
      <c r="A95" s="46" t="s">
        <v>25</v>
      </c>
      <c r="B95" s="39">
        <v>0</v>
      </c>
      <c r="C95" s="39">
        <v>0</v>
      </c>
      <c r="D95" s="39">
        <v>302.42209000000003</v>
      </c>
      <c r="E95" s="39">
        <v>328.36630300649989</v>
      </c>
      <c r="F95" s="39">
        <v>156.44959999999995</v>
      </c>
      <c r="G95" s="39">
        <v>261.70021293628986</v>
      </c>
      <c r="H95" s="40">
        <v>8.5788088451144162E-2</v>
      </c>
      <c r="I95" s="40">
        <v>0.67274453201727558</v>
      </c>
      <c r="J95" s="40">
        <v>0.28590743077392666</v>
      </c>
    </row>
    <row r="96" spans="1:10" ht="11.25" customHeight="1" x14ac:dyDescent="0.2">
      <c r="A96" s="47" t="s">
        <v>25</v>
      </c>
      <c r="B96" s="39">
        <v>0</v>
      </c>
      <c r="C96" s="39">
        <v>0</v>
      </c>
      <c r="D96" s="39">
        <v>302.42209000000003</v>
      </c>
      <c r="E96" s="39">
        <v>328.36630300649989</v>
      </c>
      <c r="F96" s="39">
        <v>156.44959999999995</v>
      </c>
      <c r="G96" s="39">
        <v>261.70021293628986</v>
      </c>
      <c r="H96" s="40">
        <v>8.5788088451144162E-2</v>
      </c>
      <c r="I96" s="40">
        <v>0.67274453201727558</v>
      </c>
      <c r="J96" s="40">
        <v>0.28590743077392666</v>
      </c>
    </row>
    <row r="97" spans="1:10" ht="11.25" customHeight="1" x14ac:dyDescent="0.2">
      <c r="A97" s="48" t="s">
        <v>34</v>
      </c>
      <c r="B97" s="39">
        <v>0</v>
      </c>
      <c r="C97" s="39">
        <v>0</v>
      </c>
      <c r="D97" s="39">
        <v>163.13164</v>
      </c>
      <c r="E97" s="39">
        <v>185.34619334347167</v>
      </c>
      <c r="F97" s="39">
        <v>113.23759999999999</v>
      </c>
      <c r="G97" s="39">
        <v>189.41757621875939</v>
      </c>
      <c r="H97" s="40">
        <v>0.13617562689538132</v>
      </c>
      <c r="I97" s="40">
        <v>0.67274453201727535</v>
      </c>
      <c r="J97" s="40">
        <v>0.35602561834389057</v>
      </c>
    </row>
    <row r="98" spans="1:10" ht="11.25" customHeight="1" x14ac:dyDescent="0.2">
      <c r="A98" s="49">
        <v>44440</v>
      </c>
      <c r="B98" s="39">
        <v>0</v>
      </c>
      <c r="C98" s="39">
        <v>0</v>
      </c>
      <c r="D98" s="39">
        <v>11.81188</v>
      </c>
      <c r="E98" s="39">
        <v>13.420370163813017</v>
      </c>
      <c r="F98" s="39">
        <v>8.1991999999999994</v>
      </c>
      <c r="G98" s="39">
        <v>13.715166966916044</v>
      </c>
      <c r="H98" s="40">
        <v>0.13617562689538132</v>
      </c>
      <c r="I98" s="40">
        <v>0.67274453201727558</v>
      </c>
      <c r="J98" s="40">
        <v>0.35602561834389057</v>
      </c>
    </row>
    <row r="99" spans="1:10" ht="11.25" customHeight="1" x14ac:dyDescent="0.2">
      <c r="A99" s="49">
        <v>44470</v>
      </c>
      <c r="B99" s="39">
        <v>0</v>
      </c>
      <c r="C99" s="39">
        <v>0</v>
      </c>
      <c r="D99" s="39">
        <v>11.173400000000001</v>
      </c>
      <c r="E99" s="39">
        <v>12.694944749552855</v>
      </c>
      <c r="F99" s="39">
        <v>7.7560000000000002</v>
      </c>
      <c r="G99" s="39">
        <v>12.97380659032599</v>
      </c>
      <c r="H99" s="40">
        <v>0.13617562689538132</v>
      </c>
      <c r="I99" s="40">
        <v>0.67274453201727558</v>
      </c>
      <c r="J99" s="40">
        <v>0.35602561834389057</v>
      </c>
    </row>
    <row r="100" spans="1:10" ht="11.25" customHeight="1" x14ac:dyDescent="0.2">
      <c r="A100" s="49">
        <v>44501</v>
      </c>
      <c r="B100" s="39">
        <v>0</v>
      </c>
      <c r="C100" s="39">
        <v>0</v>
      </c>
      <c r="D100" s="39">
        <v>12.769600000000001</v>
      </c>
      <c r="E100" s="39">
        <v>14.508508285203261</v>
      </c>
      <c r="F100" s="39">
        <v>8.8640000000000008</v>
      </c>
      <c r="G100" s="39">
        <v>14.827207531801131</v>
      </c>
      <c r="H100" s="40">
        <v>0.13617562689538132</v>
      </c>
      <c r="I100" s="40">
        <v>0.67274453201727535</v>
      </c>
      <c r="J100" s="40">
        <v>0.35602561834389057</v>
      </c>
    </row>
    <row r="101" spans="1:10" ht="11.25" customHeight="1" x14ac:dyDescent="0.2">
      <c r="A101" s="49">
        <v>44531</v>
      </c>
      <c r="B101" s="39">
        <v>0</v>
      </c>
      <c r="C101" s="39">
        <v>0</v>
      </c>
      <c r="D101" s="39">
        <v>19.154399999999999</v>
      </c>
      <c r="E101" s="39">
        <v>21.762762427804891</v>
      </c>
      <c r="F101" s="39">
        <v>13.295999999999999</v>
      </c>
      <c r="G101" s="39">
        <v>22.240811297701693</v>
      </c>
      <c r="H101" s="40">
        <v>0.13617562689538132</v>
      </c>
      <c r="I101" s="40">
        <v>0.67274453201727535</v>
      </c>
      <c r="J101" s="40">
        <v>0.35602561834389035</v>
      </c>
    </row>
    <row r="102" spans="1:10" ht="11.25" customHeight="1" x14ac:dyDescent="0.2">
      <c r="A102" s="49">
        <v>44562</v>
      </c>
      <c r="B102" s="39">
        <v>0</v>
      </c>
      <c r="C102" s="39">
        <v>0</v>
      </c>
      <c r="D102" s="39">
        <v>9.8964400000000001</v>
      </c>
      <c r="E102" s="39">
        <v>11.244093921032528</v>
      </c>
      <c r="F102" s="39">
        <v>6.8696000000000002</v>
      </c>
      <c r="G102" s="39">
        <v>11.491085837145876</v>
      </c>
      <c r="H102" s="40">
        <v>0.13617562689538132</v>
      </c>
      <c r="I102" s="40">
        <v>0.67274453201727558</v>
      </c>
      <c r="J102" s="40">
        <v>0.35602561834389057</v>
      </c>
    </row>
    <row r="103" spans="1:10" ht="11.25" customHeight="1" x14ac:dyDescent="0.2">
      <c r="A103" s="49">
        <v>44593</v>
      </c>
      <c r="B103" s="39">
        <v>0</v>
      </c>
      <c r="C103" s="39">
        <v>0</v>
      </c>
      <c r="D103" s="39">
        <v>12.131119999999999</v>
      </c>
      <c r="E103" s="39">
        <v>13.783082870943097</v>
      </c>
      <c r="F103" s="39">
        <v>8.4207999999999998</v>
      </c>
      <c r="G103" s="39">
        <v>14.085847155211074</v>
      </c>
      <c r="H103" s="40">
        <v>0.13617562689538132</v>
      </c>
      <c r="I103" s="40">
        <v>0.67274453201727558</v>
      </c>
      <c r="J103" s="40">
        <v>0.35602561834389057</v>
      </c>
    </row>
    <row r="104" spans="1:10" ht="11.25" customHeight="1" x14ac:dyDescent="0.2">
      <c r="A104" s="49">
        <v>44621</v>
      </c>
      <c r="B104" s="39">
        <v>0</v>
      </c>
      <c r="C104" s="39">
        <v>0</v>
      </c>
      <c r="D104" s="39">
        <v>19.79288</v>
      </c>
      <c r="E104" s="39">
        <v>22.488187842065056</v>
      </c>
      <c r="F104" s="39">
        <v>13.7392</v>
      </c>
      <c r="G104" s="39">
        <v>22.982171674291752</v>
      </c>
      <c r="H104" s="40">
        <v>0.13617562689538132</v>
      </c>
      <c r="I104" s="40">
        <v>0.67274453201727558</v>
      </c>
      <c r="J104" s="40">
        <v>0.35602561834389057</v>
      </c>
    </row>
    <row r="105" spans="1:10" ht="11.25" customHeight="1" x14ac:dyDescent="0.2">
      <c r="A105" s="49">
        <v>44652</v>
      </c>
      <c r="B105" s="39">
        <v>0</v>
      </c>
      <c r="C105" s="39">
        <v>0</v>
      </c>
      <c r="D105" s="39">
        <v>13.088840000000001</v>
      </c>
      <c r="E105" s="39">
        <v>14.871220992333344</v>
      </c>
      <c r="F105" s="39">
        <v>9.0855999999999995</v>
      </c>
      <c r="G105" s="39">
        <v>15.197887720096158</v>
      </c>
      <c r="H105" s="40">
        <v>0.13617562689538132</v>
      </c>
      <c r="I105" s="40">
        <v>0.67274453201727558</v>
      </c>
      <c r="J105" s="40">
        <v>0.35602561834389057</v>
      </c>
    </row>
    <row r="106" spans="1:10" ht="11.25" customHeight="1" x14ac:dyDescent="0.2">
      <c r="A106" s="49">
        <v>44682</v>
      </c>
      <c r="B106" s="39">
        <v>0</v>
      </c>
      <c r="C106" s="39">
        <v>0</v>
      </c>
      <c r="D106" s="39">
        <v>13.408080000000002</v>
      </c>
      <c r="E106" s="39">
        <v>15.233933699463424</v>
      </c>
      <c r="F106" s="39">
        <v>9.3071999999999999</v>
      </c>
      <c r="G106" s="39">
        <v>15.568567908391188</v>
      </c>
      <c r="H106" s="40">
        <v>0.1361756268953811</v>
      </c>
      <c r="I106" s="40">
        <v>0.67274453201727558</v>
      </c>
      <c r="J106" s="40">
        <v>0.35602561834389057</v>
      </c>
    </row>
    <row r="107" spans="1:10" ht="11.25" customHeight="1" x14ac:dyDescent="0.2">
      <c r="A107" s="49">
        <v>44713</v>
      </c>
      <c r="B107" s="39">
        <v>0</v>
      </c>
      <c r="C107" s="39">
        <v>0</v>
      </c>
      <c r="D107" s="39">
        <v>13.408080000000002</v>
      </c>
      <c r="E107" s="39">
        <v>15.233933699463424</v>
      </c>
      <c r="F107" s="39">
        <v>9.3071999999999999</v>
      </c>
      <c r="G107" s="39">
        <v>15.568567908391188</v>
      </c>
      <c r="H107" s="40">
        <v>0.1361756268953811</v>
      </c>
      <c r="I107" s="40">
        <v>0.67274453201727558</v>
      </c>
      <c r="J107" s="40">
        <v>0.35602561834389057</v>
      </c>
    </row>
    <row r="108" spans="1:10" ht="11.25" customHeight="1" x14ac:dyDescent="0.2">
      <c r="A108" s="49">
        <v>44743</v>
      </c>
      <c r="B108" s="39">
        <v>0</v>
      </c>
      <c r="C108" s="39">
        <v>0</v>
      </c>
      <c r="D108" s="39">
        <v>13.088840000000001</v>
      </c>
      <c r="E108" s="39">
        <v>14.871220992333344</v>
      </c>
      <c r="F108" s="39">
        <v>9.0855999999999995</v>
      </c>
      <c r="G108" s="39">
        <v>15.197887720096158</v>
      </c>
      <c r="H108" s="40">
        <v>0.13617562689538132</v>
      </c>
      <c r="I108" s="40">
        <v>0.67274453201727558</v>
      </c>
      <c r="J108" s="40">
        <v>0.35602561834389057</v>
      </c>
    </row>
    <row r="109" spans="1:10" ht="11.25" customHeight="1" x14ac:dyDescent="0.2">
      <c r="A109" s="49">
        <v>44774</v>
      </c>
      <c r="B109" s="39">
        <v>0</v>
      </c>
      <c r="C109" s="39">
        <v>0</v>
      </c>
      <c r="D109" s="39">
        <v>13.408080000000002</v>
      </c>
      <c r="E109" s="39">
        <v>15.233933699463424</v>
      </c>
      <c r="F109" s="39">
        <v>9.3071999999999999</v>
      </c>
      <c r="G109" s="39">
        <v>15.568567908391188</v>
      </c>
      <c r="H109" s="40">
        <v>0.1361756268953811</v>
      </c>
      <c r="I109" s="40">
        <v>0.67274453201727558</v>
      </c>
      <c r="J109" s="40">
        <v>0.35602561834389057</v>
      </c>
    </row>
    <row r="110" spans="1:10" ht="11.25" customHeight="1" x14ac:dyDescent="0.2">
      <c r="A110" s="48" t="s">
        <v>35</v>
      </c>
      <c r="B110" s="39">
        <v>0</v>
      </c>
      <c r="C110" s="39">
        <v>0</v>
      </c>
      <c r="D110" s="39">
        <v>139.29044999999999</v>
      </c>
      <c r="E110" s="39">
        <v>143.02010966302822</v>
      </c>
      <c r="F110" s="39">
        <v>43.211999999999989</v>
      </c>
      <c r="G110" s="39">
        <v>72.282636717530508</v>
      </c>
      <c r="H110" s="40">
        <v>2.6776133346027908E-2</v>
      </c>
      <c r="I110" s="40">
        <v>0.6727445320172758</v>
      </c>
      <c r="J110" s="40">
        <v>0.1797252386505428</v>
      </c>
    </row>
    <row r="111" spans="1:10" ht="11.25" customHeight="1" x14ac:dyDescent="0.2">
      <c r="A111" s="49">
        <v>44440</v>
      </c>
      <c r="B111" s="39">
        <v>0</v>
      </c>
      <c r="C111" s="39">
        <v>0</v>
      </c>
      <c r="D111" s="39">
        <v>12.857579999999999</v>
      </c>
      <c r="E111" s="39">
        <v>13.201856276587218</v>
      </c>
      <c r="F111" s="39">
        <v>3.9887999999999995</v>
      </c>
      <c r="G111" s="39">
        <v>6.6722433893105082</v>
      </c>
      <c r="H111" s="40">
        <v>2.6776133346027686E-2</v>
      </c>
      <c r="I111" s="40">
        <v>0.67274453201727558</v>
      </c>
      <c r="J111" s="40">
        <v>0.1797252386505428</v>
      </c>
    </row>
    <row r="112" spans="1:10" ht="11.25" customHeight="1" x14ac:dyDescent="0.2">
      <c r="A112" s="49">
        <v>44470</v>
      </c>
      <c r="B112" s="39">
        <v>0</v>
      </c>
      <c r="C112" s="39">
        <v>0</v>
      </c>
      <c r="D112" s="39">
        <v>13.571889999999998</v>
      </c>
      <c r="E112" s="39">
        <v>13.935292736397621</v>
      </c>
      <c r="F112" s="39">
        <v>4.2103999999999999</v>
      </c>
      <c r="G112" s="39">
        <v>7.0429235776055368</v>
      </c>
      <c r="H112" s="40">
        <v>2.6776133346027908E-2</v>
      </c>
      <c r="I112" s="40">
        <v>0.67274453201727558</v>
      </c>
      <c r="J112" s="40">
        <v>0.1797252386505428</v>
      </c>
    </row>
    <row r="113" spans="1:10" ht="11.25" customHeight="1" x14ac:dyDescent="0.2">
      <c r="A113" s="49">
        <v>44501</v>
      </c>
      <c r="B113" s="39">
        <v>0</v>
      </c>
      <c r="C113" s="39">
        <v>0</v>
      </c>
      <c r="D113" s="39">
        <v>9.2860299999999985</v>
      </c>
      <c r="E113" s="39">
        <v>9.5346739775352134</v>
      </c>
      <c r="F113" s="39">
        <v>2.8807999999999998</v>
      </c>
      <c r="G113" s="39">
        <v>4.8188424478353671</v>
      </c>
      <c r="H113" s="40">
        <v>2.6776133346027908E-2</v>
      </c>
      <c r="I113" s="40">
        <v>0.67274453201727558</v>
      </c>
      <c r="J113" s="40">
        <v>0.1797252386505428</v>
      </c>
    </row>
    <row r="114" spans="1:10" ht="11.25" customHeight="1" x14ac:dyDescent="0.2">
      <c r="A114" s="49">
        <v>44531</v>
      </c>
      <c r="B114" s="39">
        <v>0</v>
      </c>
      <c r="C114" s="39">
        <v>0</v>
      </c>
      <c r="D114" s="39">
        <v>5.0001699999999998</v>
      </c>
      <c r="E114" s="39">
        <v>5.1340552186728079</v>
      </c>
      <c r="F114" s="39">
        <v>1.5511999999999999</v>
      </c>
      <c r="G114" s="39">
        <v>2.5947613180651978</v>
      </c>
      <c r="H114" s="40">
        <v>2.6776133346027908E-2</v>
      </c>
      <c r="I114" s="40">
        <v>0.67274453201727558</v>
      </c>
      <c r="J114" s="40">
        <v>0.1797252386505428</v>
      </c>
    </row>
    <row r="115" spans="1:10" ht="11.25" customHeight="1" x14ac:dyDescent="0.2">
      <c r="A115" s="49">
        <v>44562</v>
      </c>
      <c r="B115" s="39">
        <v>0</v>
      </c>
      <c r="C115" s="39">
        <v>0</v>
      </c>
      <c r="D115" s="39">
        <v>21.429299999999998</v>
      </c>
      <c r="E115" s="39">
        <v>22.003093794312029</v>
      </c>
      <c r="F115" s="39">
        <v>6.6479999999999997</v>
      </c>
      <c r="G115" s="39">
        <v>11.120405648850847</v>
      </c>
      <c r="H115" s="40">
        <v>2.6776133346027686E-2</v>
      </c>
      <c r="I115" s="40">
        <v>0.67274453201727535</v>
      </c>
      <c r="J115" s="40">
        <v>0.17972523865054257</v>
      </c>
    </row>
    <row r="116" spans="1:10" ht="11.25" customHeight="1" x14ac:dyDescent="0.2">
      <c r="A116" s="49">
        <v>44593</v>
      </c>
      <c r="B116" s="39">
        <v>0</v>
      </c>
      <c r="C116" s="39">
        <v>0</v>
      </c>
      <c r="D116" s="39">
        <v>8.5717199999999991</v>
      </c>
      <c r="E116" s="39">
        <v>8.8012375177248128</v>
      </c>
      <c r="F116" s="39">
        <v>2.6591999999999998</v>
      </c>
      <c r="G116" s="39">
        <v>4.4481622595403394</v>
      </c>
      <c r="H116" s="40">
        <v>2.6776133346027908E-2</v>
      </c>
      <c r="I116" s="40">
        <v>0.6727445320172758</v>
      </c>
      <c r="J116" s="40">
        <v>0.1797252386505428</v>
      </c>
    </row>
    <row r="117" spans="1:10" ht="11.25" customHeight="1" x14ac:dyDescent="0.2">
      <c r="A117" s="49">
        <v>44621</v>
      </c>
      <c r="B117" s="39">
        <v>0</v>
      </c>
      <c r="C117" s="39">
        <v>0</v>
      </c>
      <c r="D117" s="39">
        <v>20.000679999999999</v>
      </c>
      <c r="E117" s="39">
        <v>20.536220874691232</v>
      </c>
      <c r="F117" s="39">
        <v>6.2047999999999996</v>
      </c>
      <c r="G117" s="39">
        <v>10.379045272260791</v>
      </c>
      <c r="H117" s="40">
        <v>2.6776133346027908E-2</v>
      </c>
      <c r="I117" s="40">
        <v>0.67274453201727558</v>
      </c>
      <c r="J117" s="40">
        <v>0.1797252386505428</v>
      </c>
    </row>
    <row r="118" spans="1:10" ht="11.25" customHeight="1" x14ac:dyDescent="0.2">
      <c r="A118" s="49">
        <v>44652</v>
      </c>
      <c r="B118" s="39">
        <v>0</v>
      </c>
      <c r="C118" s="39">
        <v>0</v>
      </c>
      <c r="D118" s="39">
        <v>13.571889999999998</v>
      </c>
      <c r="E118" s="39">
        <v>13.935292736397621</v>
      </c>
      <c r="F118" s="39">
        <v>4.2103999999999999</v>
      </c>
      <c r="G118" s="39">
        <v>7.0429235776055368</v>
      </c>
      <c r="H118" s="40">
        <v>2.6776133346027908E-2</v>
      </c>
      <c r="I118" s="40">
        <v>0.67274453201727558</v>
      </c>
      <c r="J118" s="40">
        <v>0.1797252386505428</v>
      </c>
    </row>
    <row r="119" spans="1:10" ht="11.25" customHeight="1" x14ac:dyDescent="0.2">
      <c r="A119" s="49">
        <v>44682</v>
      </c>
      <c r="B119" s="39">
        <v>0</v>
      </c>
      <c r="C119" s="39">
        <v>0</v>
      </c>
      <c r="D119" s="39">
        <v>8.5717199999999991</v>
      </c>
      <c r="E119" s="39">
        <v>8.8012375177248128</v>
      </c>
      <c r="F119" s="39">
        <v>2.6591999999999998</v>
      </c>
      <c r="G119" s="39">
        <v>4.4481622595403394</v>
      </c>
      <c r="H119" s="40">
        <v>2.6776133346027908E-2</v>
      </c>
      <c r="I119" s="40">
        <v>0.6727445320172758</v>
      </c>
      <c r="J119" s="40">
        <v>0.1797252386505428</v>
      </c>
    </row>
    <row r="120" spans="1:10" ht="11.25" customHeight="1" x14ac:dyDescent="0.2">
      <c r="A120" s="49">
        <v>44713</v>
      </c>
      <c r="B120" s="39">
        <v>0</v>
      </c>
      <c r="C120" s="39">
        <v>0</v>
      </c>
      <c r="D120" s="39">
        <v>8.5717199999999991</v>
      </c>
      <c r="E120" s="39">
        <v>8.8012375177248128</v>
      </c>
      <c r="F120" s="39">
        <v>2.6591999999999998</v>
      </c>
      <c r="G120" s="39">
        <v>4.4481622595403394</v>
      </c>
      <c r="H120" s="40">
        <v>2.6776133346027908E-2</v>
      </c>
      <c r="I120" s="40">
        <v>0.6727445320172758</v>
      </c>
      <c r="J120" s="40">
        <v>0.1797252386505428</v>
      </c>
    </row>
    <row r="121" spans="1:10" ht="11.25" customHeight="1" x14ac:dyDescent="0.2">
      <c r="A121" s="49">
        <v>44743</v>
      </c>
      <c r="B121" s="39">
        <v>0</v>
      </c>
      <c r="C121" s="39">
        <v>0</v>
      </c>
      <c r="D121" s="39">
        <v>9.2860299999999985</v>
      </c>
      <c r="E121" s="39">
        <v>9.5346739775352134</v>
      </c>
      <c r="F121" s="39">
        <v>2.8807999999999998</v>
      </c>
      <c r="G121" s="39">
        <v>4.8188424478353671</v>
      </c>
      <c r="H121" s="40">
        <v>2.6776133346027908E-2</v>
      </c>
      <c r="I121" s="40">
        <v>0.67274453201727558</v>
      </c>
      <c r="J121" s="40">
        <v>0.1797252386505428</v>
      </c>
    </row>
    <row r="122" spans="1:10" ht="11.25" customHeight="1" x14ac:dyDescent="0.2">
      <c r="A122" s="49">
        <v>44774</v>
      </c>
      <c r="B122" s="39">
        <v>0</v>
      </c>
      <c r="C122" s="39">
        <v>0</v>
      </c>
      <c r="D122" s="39">
        <v>8.5717199999999991</v>
      </c>
      <c r="E122" s="39">
        <v>8.8012375177248128</v>
      </c>
      <c r="F122" s="39">
        <v>2.6591999999999998</v>
      </c>
      <c r="G122" s="39">
        <v>4.4481622595403394</v>
      </c>
      <c r="H122" s="40">
        <v>2.6776133346027908E-2</v>
      </c>
      <c r="I122" s="40">
        <v>0.6727445320172758</v>
      </c>
      <c r="J122" s="40">
        <v>0.1797252386505428</v>
      </c>
    </row>
    <row r="123" spans="1:10" ht="11.25" customHeight="1" x14ac:dyDescent="0.2">
      <c r="A123" s="43" t="s">
        <v>23</v>
      </c>
      <c r="B123" s="39">
        <v>0</v>
      </c>
      <c r="C123" s="39">
        <v>0</v>
      </c>
      <c r="D123" s="39">
        <v>2508445.2524499982</v>
      </c>
      <c r="E123" s="39">
        <v>2690832.5335768568</v>
      </c>
      <c r="F123" s="39">
        <v>1210518.9852800001</v>
      </c>
      <c r="G123" s="39">
        <v>2024889.0135302213</v>
      </c>
      <c r="H123" s="40">
        <v>7.2709293116411944E-2</v>
      </c>
      <c r="I123" s="40">
        <v>0.67274453201727535</v>
      </c>
      <c r="J123" s="40">
        <v>0.26802013831288818</v>
      </c>
    </row>
    <row r="124" spans="1:10" ht="11.25" customHeight="1" x14ac:dyDescent="0.2">
      <c r="A124" s="44" t="s">
        <v>24</v>
      </c>
      <c r="B124" s="39">
        <v>0</v>
      </c>
      <c r="C124" s="39">
        <v>0</v>
      </c>
      <c r="D124" s="39">
        <v>2508445.2524499982</v>
      </c>
      <c r="E124" s="39">
        <v>2690832.5335768568</v>
      </c>
      <c r="F124" s="39">
        <v>1210518.9852800001</v>
      </c>
      <c r="G124" s="39">
        <v>2024889.0135302213</v>
      </c>
      <c r="H124" s="40">
        <v>7.2709293116411944E-2</v>
      </c>
      <c r="I124" s="40">
        <v>0.67274453201727535</v>
      </c>
      <c r="J124" s="40">
        <v>0.26802013831288818</v>
      </c>
    </row>
    <row r="125" spans="1:10" ht="11.25" customHeight="1" x14ac:dyDescent="0.2">
      <c r="A125" s="45" t="s">
        <v>24</v>
      </c>
      <c r="B125" s="39">
        <v>0</v>
      </c>
      <c r="C125" s="39">
        <v>0</v>
      </c>
      <c r="D125" s="39">
        <v>2442942.0895499997</v>
      </c>
      <c r="E125" s="39">
        <v>2626118.6022393294</v>
      </c>
      <c r="F125" s="39">
        <v>1171081.764</v>
      </c>
      <c r="G125" s="39">
        <v>1958920.6172761454</v>
      </c>
      <c r="H125" s="40">
        <v>7.4981929974063055E-2</v>
      </c>
      <c r="I125" s="40">
        <v>0.6727445320172758</v>
      </c>
      <c r="J125" s="40">
        <v>0.26867984421620816</v>
      </c>
    </row>
    <row r="126" spans="1:10" ht="11.25" customHeight="1" x14ac:dyDescent="0.2">
      <c r="A126" s="46" t="s">
        <v>25</v>
      </c>
      <c r="B126" s="39">
        <v>0</v>
      </c>
      <c r="C126" s="39">
        <v>0</v>
      </c>
      <c r="D126" s="39">
        <v>2442942.0895499997</v>
      </c>
      <c r="E126" s="39">
        <v>2626118.6022393294</v>
      </c>
      <c r="F126" s="39">
        <v>1171081.764</v>
      </c>
      <c r="G126" s="39">
        <v>1958920.6172761454</v>
      </c>
      <c r="H126" s="40">
        <v>7.4981929974063055E-2</v>
      </c>
      <c r="I126" s="40">
        <v>0.6727445320172758</v>
      </c>
      <c r="J126" s="40">
        <v>0.26867984421620816</v>
      </c>
    </row>
    <row r="127" spans="1:10" ht="11.25" customHeight="1" x14ac:dyDescent="0.2">
      <c r="A127" s="47" t="s">
        <v>25</v>
      </c>
      <c r="B127" s="39">
        <v>0</v>
      </c>
      <c r="C127" s="39">
        <v>0</v>
      </c>
      <c r="D127" s="39">
        <v>2442942.0895499997</v>
      </c>
      <c r="E127" s="39">
        <v>2626118.6022393294</v>
      </c>
      <c r="F127" s="39">
        <v>1171081.764</v>
      </c>
      <c r="G127" s="39">
        <v>1958920.6172761454</v>
      </c>
      <c r="H127" s="40">
        <v>7.4981929974063055E-2</v>
      </c>
      <c r="I127" s="40">
        <v>0.6727445320172758</v>
      </c>
      <c r="J127" s="40">
        <v>0.26867984421620816</v>
      </c>
    </row>
    <row r="128" spans="1:10" ht="11.25" customHeight="1" x14ac:dyDescent="0.2">
      <c r="A128" s="48" t="s">
        <v>25</v>
      </c>
      <c r="B128" s="39">
        <v>0</v>
      </c>
      <c r="C128" s="39">
        <v>0</v>
      </c>
      <c r="D128" s="39">
        <v>2442942.0895499997</v>
      </c>
      <c r="E128" s="39">
        <v>2626118.6022393294</v>
      </c>
      <c r="F128" s="39">
        <v>1171081.764</v>
      </c>
      <c r="G128" s="39">
        <v>1958920.6172761454</v>
      </c>
      <c r="H128" s="40">
        <v>7.4981929974063055E-2</v>
      </c>
      <c r="I128" s="40">
        <v>0.6727445320172758</v>
      </c>
      <c r="J128" s="40">
        <v>0.26867984421620816</v>
      </c>
    </row>
    <row r="129" spans="1:10" ht="11.25" customHeight="1" x14ac:dyDescent="0.2">
      <c r="A129" s="49">
        <v>44440</v>
      </c>
      <c r="B129" s="39">
        <v>0</v>
      </c>
      <c r="C129" s="39">
        <v>0</v>
      </c>
      <c r="D129" s="39">
        <v>196771.23500999997</v>
      </c>
      <c r="E129" s="39">
        <v>211525.52197442969</v>
      </c>
      <c r="F129" s="39">
        <v>94326.920799999993</v>
      </c>
      <c r="G129" s="39">
        <v>157784.84099022663</v>
      </c>
      <c r="H129" s="40">
        <v>7.4981929974063055E-2</v>
      </c>
      <c r="I129" s="40">
        <v>0.6727445320172758</v>
      </c>
      <c r="J129" s="40">
        <v>0.26867984421620839</v>
      </c>
    </row>
    <row r="130" spans="1:10" ht="11.25" customHeight="1" x14ac:dyDescent="0.2">
      <c r="A130" s="49">
        <v>44470</v>
      </c>
      <c r="B130" s="39">
        <v>0</v>
      </c>
      <c r="C130" s="39">
        <v>0</v>
      </c>
      <c r="D130" s="39">
        <v>189509.89784999998</v>
      </c>
      <c r="E130" s="39">
        <v>203719.71573998049</v>
      </c>
      <c r="F130" s="39">
        <v>90846.028000000006</v>
      </c>
      <c r="G130" s="39">
        <v>151962.1965924883</v>
      </c>
      <c r="H130" s="40">
        <v>7.4981929974062833E-2</v>
      </c>
      <c r="I130" s="40">
        <v>0.67274453201727535</v>
      </c>
      <c r="J130" s="40">
        <v>0.26867984421620816</v>
      </c>
    </row>
    <row r="131" spans="1:10" ht="11.25" customHeight="1" x14ac:dyDescent="0.2">
      <c r="A131" s="49">
        <v>44501</v>
      </c>
      <c r="B131" s="39">
        <v>0</v>
      </c>
      <c r="C131" s="39">
        <v>0</v>
      </c>
      <c r="D131" s="39">
        <v>199557.79856999998</v>
      </c>
      <c r="E131" s="39">
        <v>214521.02744815388</v>
      </c>
      <c r="F131" s="39">
        <v>95662.725599999991</v>
      </c>
      <c r="G131" s="39">
        <v>160019.30116526902</v>
      </c>
      <c r="H131" s="40">
        <v>7.4981929974062833E-2</v>
      </c>
      <c r="I131" s="40">
        <v>0.67274453201727535</v>
      </c>
      <c r="J131" s="40">
        <v>0.26867984421620816</v>
      </c>
    </row>
    <row r="132" spans="1:10" ht="11.25" customHeight="1" x14ac:dyDescent="0.2">
      <c r="A132" s="49">
        <v>44531</v>
      </c>
      <c r="B132" s="39">
        <v>0</v>
      </c>
      <c r="C132" s="39">
        <v>0</v>
      </c>
      <c r="D132" s="39">
        <v>206232.05282999997</v>
      </c>
      <c r="E132" s="39">
        <v>221695.73017370631</v>
      </c>
      <c r="F132" s="39">
        <v>98862.186400000006</v>
      </c>
      <c r="G132" s="39">
        <v>165371.18172387264</v>
      </c>
      <c r="H132" s="40">
        <v>7.4981929974063055E-2</v>
      </c>
      <c r="I132" s="40">
        <v>0.67274453201727513</v>
      </c>
      <c r="J132" s="40">
        <v>0.26867984421620839</v>
      </c>
    </row>
    <row r="133" spans="1:10" ht="11.25" customHeight="1" x14ac:dyDescent="0.2">
      <c r="A133" s="49">
        <v>44562</v>
      </c>
      <c r="B133" s="39">
        <v>0</v>
      </c>
      <c r="C133" s="39">
        <v>0</v>
      </c>
      <c r="D133" s="39">
        <v>251776.28003999998</v>
      </c>
      <c r="E133" s="39">
        <v>270654.95143908932</v>
      </c>
      <c r="F133" s="39">
        <v>120694.8832</v>
      </c>
      <c r="G133" s="39">
        <v>201891.70591526374</v>
      </c>
      <c r="H133" s="40">
        <v>7.4981929974062833E-2</v>
      </c>
      <c r="I133" s="40">
        <v>0.67274453201727558</v>
      </c>
      <c r="J133" s="40">
        <v>0.26867984421620839</v>
      </c>
    </row>
    <row r="134" spans="1:10" ht="11.25" customHeight="1" x14ac:dyDescent="0.2">
      <c r="A134" s="49">
        <v>44593</v>
      </c>
      <c r="B134" s="39">
        <v>0</v>
      </c>
      <c r="C134" s="39">
        <v>0</v>
      </c>
      <c r="D134" s="39">
        <v>216404.76645000002</v>
      </c>
      <c r="E134" s="39">
        <v>232631.21349400736</v>
      </c>
      <c r="F134" s="39">
        <v>103738.716</v>
      </c>
      <c r="G134" s="39">
        <v>173528.36994749305</v>
      </c>
      <c r="H134" s="40">
        <v>7.4981929974062833E-2</v>
      </c>
      <c r="I134" s="40">
        <v>0.67274453201727558</v>
      </c>
      <c r="J134" s="40">
        <v>0.26867984421620839</v>
      </c>
    </row>
    <row r="135" spans="1:10" ht="11.25" customHeight="1" x14ac:dyDescent="0.2">
      <c r="A135" s="49">
        <v>44621</v>
      </c>
      <c r="B135" s="39">
        <v>0</v>
      </c>
      <c r="C135" s="39">
        <v>0</v>
      </c>
      <c r="D135" s="39">
        <v>231990.19949999999</v>
      </c>
      <c r="E135" s="39">
        <v>249385.27239357788</v>
      </c>
      <c r="F135" s="39">
        <v>111209.96</v>
      </c>
      <c r="G135" s="39">
        <v>186025.85249585993</v>
      </c>
      <c r="H135" s="40">
        <v>7.4981929974062833E-2</v>
      </c>
      <c r="I135" s="40">
        <v>0.67274453201727535</v>
      </c>
      <c r="J135" s="40">
        <v>0.26867984421620816</v>
      </c>
    </row>
    <row r="136" spans="1:10" ht="11.25" customHeight="1" x14ac:dyDescent="0.2">
      <c r="A136" s="49">
        <v>44652</v>
      </c>
      <c r="B136" s="39">
        <v>0</v>
      </c>
      <c r="C136" s="39">
        <v>0</v>
      </c>
      <c r="D136" s="39">
        <v>211974.83304</v>
      </c>
      <c r="E136" s="39">
        <v>227869.11512726895</v>
      </c>
      <c r="F136" s="39">
        <v>101615.1232</v>
      </c>
      <c r="G136" s="39">
        <v>169976.14170306179</v>
      </c>
      <c r="H136" s="40">
        <v>7.4981929974062833E-2</v>
      </c>
      <c r="I136" s="40">
        <v>0.67274453201727535</v>
      </c>
      <c r="J136" s="40">
        <v>0.26867984421620816</v>
      </c>
    </row>
    <row r="137" spans="1:10" ht="11.25" customHeight="1" x14ac:dyDescent="0.2">
      <c r="A137" s="49">
        <v>44682</v>
      </c>
      <c r="B137" s="39">
        <v>0</v>
      </c>
      <c r="C137" s="39">
        <v>0</v>
      </c>
      <c r="D137" s="39">
        <v>193191.87840000002</v>
      </c>
      <c r="E137" s="39">
        <v>207677.7782977465</v>
      </c>
      <c r="F137" s="39">
        <v>92611.072</v>
      </c>
      <c r="G137" s="39">
        <v>154914.66429225821</v>
      </c>
      <c r="H137" s="40">
        <v>7.4981929974062833E-2</v>
      </c>
      <c r="I137" s="40">
        <v>0.67274453201727558</v>
      </c>
      <c r="J137" s="40">
        <v>0.26867984421620816</v>
      </c>
    </row>
    <row r="138" spans="1:10" ht="11.25" customHeight="1" x14ac:dyDescent="0.2">
      <c r="A138" s="49">
        <v>44713</v>
      </c>
      <c r="B138" s="39">
        <v>0</v>
      </c>
      <c r="C138" s="39">
        <v>0</v>
      </c>
      <c r="D138" s="39">
        <v>174529.57622999998</v>
      </c>
      <c r="E138" s="39">
        <v>187616.1406932807</v>
      </c>
      <c r="F138" s="39">
        <v>83664.858399999997</v>
      </c>
      <c r="G138" s="39">
        <v>139949.93441059961</v>
      </c>
      <c r="H138" s="40">
        <v>7.4981929974062833E-2</v>
      </c>
      <c r="I138" s="40">
        <v>0.67274453201727535</v>
      </c>
      <c r="J138" s="40">
        <v>0.26867984421620816</v>
      </c>
    </row>
    <row r="139" spans="1:10" ht="11.25" customHeight="1" x14ac:dyDescent="0.2">
      <c r="A139" s="49">
        <v>44743</v>
      </c>
      <c r="B139" s="39">
        <v>0</v>
      </c>
      <c r="C139" s="39">
        <v>0</v>
      </c>
      <c r="D139" s="39">
        <v>182938.7298</v>
      </c>
      <c r="E139" s="39">
        <v>196655.82882740762</v>
      </c>
      <c r="F139" s="39">
        <v>87695.983999999997</v>
      </c>
      <c r="G139" s="39">
        <v>146692.9777158745</v>
      </c>
      <c r="H139" s="40">
        <v>7.4981929974062833E-2</v>
      </c>
      <c r="I139" s="40">
        <v>0.6727445320172758</v>
      </c>
      <c r="J139" s="40">
        <v>0.26867984421620816</v>
      </c>
    </row>
    <row r="140" spans="1:10" ht="11.25" customHeight="1" x14ac:dyDescent="0.2">
      <c r="A140" s="49">
        <v>44774</v>
      </c>
      <c r="B140" s="39">
        <v>0</v>
      </c>
      <c r="C140" s="39">
        <v>0</v>
      </c>
      <c r="D140" s="39">
        <v>188064.84182999996</v>
      </c>
      <c r="E140" s="39">
        <v>202166.30663068028</v>
      </c>
      <c r="F140" s="39">
        <v>90153.306400000001</v>
      </c>
      <c r="G140" s="39">
        <v>150803.45032387806</v>
      </c>
      <c r="H140" s="40">
        <v>7.4981929974063055E-2</v>
      </c>
      <c r="I140" s="40">
        <v>0.67274453201727558</v>
      </c>
      <c r="J140" s="40">
        <v>0.26867984421620839</v>
      </c>
    </row>
    <row r="141" spans="1:10" ht="11.25" customHeight="1" x14ac:dyDescent="0.2">
      <c r="A141" s="45" t="s">
        <v>29</v>
      </c>
      <c r="B141" s="39">
        <v>0</v>
      </c>
      <c r="C141" s="39">
        <v>0</v>
      </c>
      <c r="D141" s="39">
        <v>6932.577119999999</v>
      </c>
      <c r="E141" s="39">
        <v>6849.2133044728143</v>
      </c>
      <c r="F141" s="39">
        <v>4173.9689600000002</v>
      </c>
      <c r="G141" s="39">
        <v>6981.9837546498338</v>
      </c>
      <c r="H141" s="40">
        <v>-1.2024938790321738E-2</v>
      </c>
      <c r="I141" s="40">
        <v>0.67274453201727535</v>
      </c>
      <c r="J141" s="40">
        <v>0.24531937827449668</v>
      </c>
    </row>
    <row r="142" spans="1:10" ht="11.25" customHeight="1" x14ac:dyDescent="0.2">
      <c r="A142" s="46" t="s">
        <v>25</v>
      </c>
      <c r="B142" s="39">
        <v>0</v>
      </c>
      <c r="C142" s="39">
        <v>0</v>
      </c>
      <c r="D142" s="39">
        <v>6932.577119999999</v>
      </c>
      <c r="E142" s="39">
        <v>6849.2133044728143</v>
      </c>
      <c r="F142" s="39">
        <v>4173.9689600000002</v>
      </c>
      <c r="G142" s="39">
        <v>6981.9837546498338</v>
      </c>
      <c r="H142" s="40">
        <v>-1.2024938790321738E-2</v>
      </c>
      <c r="I142" s="40">
        <v>0.67274453201727535</v>
      </c>
      <c r="J142" s="40">
        <v>0.24531937827449668</v>
      </c>
    </row>
    <row r="143" spans="1:10" ht="11.25" customHeight="1" x14ac:dyDescent="0.2">
      <c r="A143" s="47" t="s">
        <v>25</v>
      </c>
      <c r="B143" s="39">
        <v>0</v>
      </c>
      <c r="C143" s="39">
        <v>0</v>
      </c>
      <c r="D143" s="39">
        <v>6932.577119999999</v>
      </c>
      <c r="E143" s="39">
        <v>6849.2133044728143</v>
      </c>
      <c r="F143" s="39">
        <v>4173.9689600000002</v>
      </c>
      <c r="G143" s="39">
        <v>6981.9837546498338</v>
      </c>
      <c r="H143" s="40">
        <v>-1.2024938790321738E-2</v>
      </c>
      <c r="I143" s="40">
        <v>0.67274453201727535</v>
      </c>
      <c r="J143" s="40">
        <v>0.24531937827449668</v>
      </c>
    </row>
    <row r="144" spans="1:10" ht="11.25" customHeight="1" x14ac:dyDescent="0.2">
      <c r="A144" s="48" t="s">
        <v>25</v>
      </c>
      <c r="B144" s="39">
        <v>0</v>
      </c>
      <c r="C144" s="39">
        <v>0</v>
      </c>
      <c r="D144" s="39">
        <v>6932.577119999999</v>
      </c>
      <c r="E144" s="39">
        <v>6849.2133044728143</v>
      </c>
      <c r="F144" s="39">
        <v>4173.9689600000002</v>
      </c>
      <c r="G144" s="39">
        <v>6981.9837546498338</v>
      </c>
      <c r="H144" s="40">
        <v>-1.2024938790321738E-2</v>
      </c>
      <c r="I144" s="40">
        <v>0.67274453201727535</v>
      </c>
      <c r="J144" s="40">
        <v>0.24531937827449668</v>
      </c>
    </row>
    <row r="145" spans="1:10" ht="11.25" customHeight="1" x14ac:dyDescent="0.2">
      <c r="A145" s="49">
        <v>44440</v>
      </c>
      <c r="B145" s="39">
        <v>0</v>
      </c>
      <c r="C145" s="39">
        <v>0</v>
      </c>
      <c r="D145" s="39">
        <v>467.61659999999995</v>
      </c>
      <c r="E145" s="39">
        <v>461.99353900766147</v>
      </c>
      <c r="F145" s="39">
        <v>281.5428</v>
      </c>
      <c r="G145" s="39">
        <v>470.94917922883332</v>
      </c>
      <c r="H145" s="40">
        <v>-1.202493879032196E-2</v>
      </c>
      <c r="I145" s="40">
        <v>0.67274453201727513</v>
      </c>
      <c r="J145" s="40">
        <v>0.24531937827449646</v>
      </c>
    </row>
    <row r="146" spans="1:10" ht="11.25" customHeight="1" x14ac:dyDescent="0.2">
      <c r="A146" s="49">
        <v>44470</v>
      </c>
      <c r="B146" s="39">
        <v>0</v>
      </c>
      <c r="C146" s="39">
        <v>0</v>
      </c>
      <c r="D146" s="39">
        <v>467.61659999999995</v>
      </c>
      <c r="E146" s="39">
        <v>461.99353900766147</v>
      </c>
      <c r="F146" s="39">
        <v>281.5428</v>
      </c>
      <c r="G146" s="39">
        <v>470.94917922883332</v>
      </c>
      <c r="H146" s="40">
        <v>-1.202493879032196E-2</v>
      </c>
      <c r="I146" s="40">
        <v>0.67274453201727513</v>
      </c>
      <c r="J146" s="40">
        <v>0.24531937827449646</v>
      </c>
    </row>
    <row r="147" spans="1:10" ht="11.25" customHeight="1" x14ac:dyDescent="0.2">
      <c r="A147" s="49">
        <v>44501</v>
      </c>
      <c r="B147" s="39">
        <v>0</v>
      </c>
      <c r="C147" s="39">
        <v>0</v>
      </c>
      <c r="D147" s="39">
        <v>463.75200000000001</v>
      </c>
      <c r="E147" s="39">
        <v>458.17541058611056</v>
      </c>
      <c r="F147" s="39">
        <v>279.21600000000001</v>
      </c>
      <c r="G147" s="39">
        <v>467.05703725173555</v>
      </c>
      <c r="H147" s="40">
        <v>-1.2024938790322071E-2</v>
      </c>
      <c r="I147" s="40">
        <v>0.67274453201727535</v>
      </c>
      <c r="J147" s="40">
        <v>0.24531937827449646</v>
      </c>
    </row>
    <row r="148" spans="1:10" ht="11.25" customHeight="1" x14ac:dyDescent="0.2">
      <c r="A148" s="49">
        <v>44531</v>
      </c>
      <c r="B148" s="39">
        <v>0</v>
      </c>
      <c r="C148" s="39">
        <v>0</v>
      </c>
      <c r="D148" s="39">
        <v>471.4812</v>
      </c>
      <c r="E148" s="39">
        <v>465.81166742921243</v>
      </c>
      <c r="F148" s="39">
        <v>283.86959999999999</v>
      </c>
      <c r="G148" s="39">
        <v>474.84132120593114</v>
      </c>
      <c r="H148" s="40">
        <v>-1.202493879032196E-2</v>
      </c>
      <c r="I148" s="40">
        <v>0.67274453201727535</v>
      </c>
      <c r="J148" s="40">
        <v>0.24531937827449668</v>
      </c>
    </row>
    <row r="149" spans="1:10" ht="11.25" customHeight="1" x14ac:dyDescent="0.2">
      <c r="A149" s="49">
        <v>44562</v>
      </c>
      <c r="B149" s="39">
        <v>0</v>
      </c>
      <c r="C149" s="39">
        <v>0</v>
      </c>
      <c r="D149" s="39">
        <v>463.75200000000001</v>
      </c>
      <c r="E149" s="39">
        <v>458.17541058611056</v>
      </c>
      <c r="F149" s="39">
        <v>279.21600000000001</v>
      </c>
      <c r="G149" s="39">
        <v>467.05703725173555</v>
      </c>
      <c r="H149" s="40">
        <v>-1.2024938790322071E-2</v>
      </c>
      <c r="I149" s="40">
        <v>0.67274453201727535</v>
      </c>
      <c r="J149" s="40">
        <v>0.24531937827449646</v>
      </c>
    </row>
    <row r="150" spans="1:10" ht="11.25" customHeight="1" x14ac:dyDescent="0.2">
      <c r="A150" s="49">
        <v>44593</v>
      </c>
      <c r="B150" s="39">
        <v>0</v>
      </c>
      <c r="C150" s="39">
        <v>0</v>
      </c>
      <c r="D150" s="39">
        <v>479.21039999999999</v>
      </c>
      <c r="E150" s="39">
        <v>473.44792427231425</v>
      </c>
      <c r="F150" s="39">
        <v>288.52320000000003</v>
      </c>
      <c r="G150" s="39">
        <v>482.62560516012672</v>
      </c>
      <c r="H150" s="40">
        <v>-1.2024938790322071E-2</v>
      </c>
      <c r="I150" s="40">
        <v>0.67274453201727513</v>
      </c>
      <c r="J150" s="40">
        <v>0.24531937827449646</v>
      </c>
    </row>
    <row r="151" spans="1:10" ht="11.25" customHeight="1" x14ac:dyDescent="0.2">
      <c r="A151" s="49">
        <v>44621</v>
      </c>
      <c r="B151" s="39">
        <v>0</v>
      </c>
      <c r="C151" s="39">
        <v>0</v>
      </c>
      <c r="D151" s="39">
        <v>481.78680000000003</v>
      </c>
      <c r="E151" s="39">
        <v>475.99334322001488</v>
      </c>
      <c r="F151" s="39">
        <v>290.07440000000003</v>
      </c>
      <c r="G151" s="39">
        <v>485.22036647819192</v>
      </c>
      <c r="H151" s="40">
        <v>-1.2024938790322071E-2</v>
      </c>
      <c r="I151" s="40">
        <v>0.67274453201727513</v>
      </c>
      <c r="J151" s="40">
        <v>0.24531937827449646</v>
      </c>
    </row>
    <row r="152" spans="1:10" ht="11.25" customHeight="1" x14ac:dyDescent="0.2">
      <c r="A152" s="49">
        <v>44652</v>
      </c>
      <c r="B152" s="39">
        <v>0</v>
      </c>
      <c r="C152" s="39">
        <v>0</v>
      </c>
      <c r="D152" s="39">
        <v>494.66879999999998</v>
      </c>
      <c r="E152" s="39">
        <v>488.72043795851789</v>
      </c>
      <c r="F152" s="39">
        <v>297.8304</v>
      </c>
      <c r="G152" s="39">
        <v>498.19417306851784</v>
      </c>
      <c r="H152" s="40">
        <v>-1.2024938790322071E-2</v>
      </c>
      <c r="I152" s="40">
        <v>0.67274453201727513</v>
      </c>
      <c r="J152" s="40">
        <v>0.24531937827449646</v>
      </c>
    </row>
    <row r="153" spans="1:10" ht="11.25" customHeight="1" x14ac:dyDescent="0.2">
      <c r="A153" s="49">
        <v>44682</v>
      </c>
      <c r="B153" s="39">
        <v>0</v>
      </c>
      <c r="C153" s="39">
        <v>0</v>
      </c>
      <c r="D153" s="39">
        <v>506.26260000000002</v>
      </c>
      <c r="E153" s="39">
        <v>500.17482322317073</v>
      </c>
      <c r="F153" s="39">
        <v>304.81080000000003</v>
      </c>
      <c r="G153" s="39">
        <v>509.87059899981131</v>
      </c>
      <c r="H153" s="40">
        <v>-1.2024938790322071E-2</v>
      </c>
      <c r="I153" s="40">
        <v>0.67274453201727513</v>
      </c>
      <c r="J153" s="40">
        <v>0.24531937827449668</v>
      </c>
    </row>
    <row r="154" spans="1:10" ht="11.25" customHeight="1" x14ac:dyDescent="0.2">
      <c r="A154" s="49">
        <v>44713</v>
      </c>
      <c r="B154" s="39">
        <v>0</v>
      </c>
      <c r="C154" s="39">
        <v>0</v>
      </c>
      <c r="D154" s="39">
        <v>966.15</v>
      </c>
      <c r="E154" s="39">
        <v>954.53210538773033</v>
      </c>
      <c r="F154" s="39">
        <v>581.70000000000005</v>
      </c>
      <c r="G154" s="39">
        <v>973.03549427444909</v>
      </c>
      <c r="H154" s="40">
        <v>-1.2024938790322071E-2</v>
      </c>
      <c r="I154" s="40">
        <v>0.67274453201727535</v>
      </c>
      <c r="J154" s="40">
        <v>0.24531937827449668</v>
      </c>
    </row>
    <row r="155" spans="1:10" ht="11.25" customHeight="1" x14ac:dyDescent="0.2">
      <c r="A155" s="49">
        <v>44743</v>
      </c>
      <c r="B155" s="39">
        <v>0</v>
      </c>
      <c r="C155" s="39">
        <v>0</v>
      </c>
      <c r="D155" s="39">
        <v>955.32911999999999</v>
      </c>
      <c r="E155" s="39">
        <v>943.84134580738782</v>
      </c>
      <c r="F155" s="39">
        <v>575.18496000000005</v>
      </c>
      <c r="G155" s="39">
        <v>962.13749673857524</v>
      </c>
      <c r="H155" s="40">
        <v>-1.202493879032196E-2</v>
      </c>
      <c r="I155" s="40">
        <v>0.67274453201727513</v>
      </c>
      <c r="J155" s="40">
        <v>0.24531937827449668</v>
      </c>
    </row>
    <row r="156" spans="1:10" ht="11.25" customHeight="1" x14ac:dyDescent="0.2">
      <c r="A156" s="49">
        <v>44774</v>
      </c>
      <c r="B156" s="39">
        <v>0</v>
      </c>
      <c r="C156" s="39">
        <v>0</v>
      </c>
      <c r="D156" s="39">
        <v>714.95099999999991</v>
      </c>
      <c r="E156" s="39">
        <v>706.35375798692041</v>
      </c>
      <c r="F156" s="39">
        <v>430.45800000000003</v>
      </c>
      <c r="G156" s="39">
        <v>720.04626576309226</v>
      </c>
      <c r="H156" s="40">
        <v>-1.202493879032196E-2</v>
      </c>
      <c r="I156" s="40">
        <v>0.67274453201727513</v>
      </c>
      <c r="J156" s="40">
        <v>0.24531937827449646</v>
      </c>
    </row>
    <row r="157" spans="1:10" ht="11.25" customHeight="1" x14ac:dyDescent="0.2">
      <c r="A157" s="45" t="s">
        <v>30</v>
      </c>
      <c r="B157" s="39">
        <v>0</v>
      </c>
      <c r="C157" s="39">
        <v>0</v>
      </c>
      <c r="D157" s="39">
        <v>23598.52072</v>
      </c>
      <c r="E157" s="39">
        <v>23314.146678290759</v>
      </c>
      <c r="F157" s="39">
        <v>14207.839680000001</v>
      </c>
      <c r="G157" s="39">
        <v>23766.086136498077</v>
      </c>
      <c r="H157" s="40">
        <v>-1.2050502871912117E-2</v>
      </c>
      <c r="I157" s="40">
        <v>0.67274453201727513</v>
      </c>
      <c r="J157" s="40">
        <v>0.24529926490328946</v>
      </c>
    </row>
    <row r="158" spans="1:10" ht="11.25" customHeight="1" x14ac:dyDescent="0.2">
      <c r="A158" s="46" t="s">
        <v>25</v>
      </c>
      <c r="B158" s="39">
        <v>0</v>
      </c>
      <c r="C158" s="39">
        <v>0</v>
      </c>
      <c r="D158" s="39">
        <v>23598.52072</v>
      </c>
      <c r="E158" s="39">
        <v>23314.146678290759</v>
      </c>
      <c r="F158" s="39">
        <v>14207.839680000001</v>
      </c>
      <c r="G158" s="39">
        <v>23766.086136498077</v>
      </c>
      <c r="H158" s="40">
        <v>-1.2050502871912117E-2</v>
      </c>
      <c r="I158" s="40">
        <v>0.67274453201727513</v>
      </c>
      <c r="J158" s="40">
        <v>0.24529926490328946</v>
      </c>
    </row>
    <row r="159" spans="1:10" ht="11.25" customHeight="1" x14ac:dyDescent="0.2">
      <c r="A159" s="47" t="s">
        <v>25</v>
      </c>
      <c r="B159" s="39">
        <v>0</v>
      </c>
      <c r="C159" s="39">
        <v>0</v>
      </c>
      <c r="D159" s="39">
        <v>23598.52072</v>
      </c>
      <c r="E159" s="39">
        <v>23314.146678290759</v>
      </c>
      <c r="F159" s="39">
        <v>14207.839680000001</v>
      </c>
      <c r="G159" s="39">
        <v>23766.086136498077</v>
      </c>
      <c r="H159" s="40">
        <v>-1.2050502871912117E-2</v>
      </c>
      <c r="I159" s="40">
        <v>0.67274453201727513</v>
      </c>
      <c r="J159" s="40">
        <v>0.24529926490328946</v>
      </c>
    </row>
    <row r="160" spans="1:10" ht="11.25" customHeight="1" x14ac:dyDescent="0.2">
      <c r="A160" s="48" t="s">
        <v>25</v>
      </c>
      <c r="B160" s="39">
        <v>0</v>
      </c>
      <c r="C160" s="39">
        <v>0</v>
      </c>
      <c r="D160" s="39">
        <v>23598.52072</v>
      </c>
      <c r="E160" s="39">
        <v>23314.146678290759</v>
      </c>
      <c r="F160" s="39">
        <v>14207.839680000001</v>
      </c>
      <c r="G160" s="39">
        <v>23766.086136498077</v>
      </c>
      <c r="H160" s="40">
        <v>-1.2050502871912117E-2</v>
      </c>
      <c r="I160" s="40">
        <v>0.67274453201727513</v>
      </c>
      <c r="J160" s="40">
        <v>0.24529926490328946</v>
      </c>
    </row>
    <row r="161" spans="1:10" ht="11.25" customHeight="1" x14ac:dyDescent="0.2">
      <c r="A161" s="49">
        <v>44440</v>
      </c>
      <c r="B161" s="39">
        <v>0</v>
      </c>
      <c r="C161" s="39">
        <v>0</v>
      </c>
      <c r="D161" s="39">
        <v>1705.3264800000002</v>
      </c>
      <c r="E161" s="39">
        <v>1684.7764383552123</v>
      </c>
      <c r="F161" s="39">
        <v>1026.71712</v>
      </c>
      <c r="G161" s="39">
        <v>1717.435448408525</v>
      </c>
      <c r="H161" s="40">
        <v>-1.2050502871912117E-2</v>
      </c>
      <c r="I161" s="40">
        <v>0.67274453201727558</v>
      </c>
      <c r="J161" s="40">
        <v>0.24529926490328968</v>
      </c>
    </row>
    <row r="162" spans="1:10" ht="11.25" customHeight="1" x14ac:dyDescent="0.2">
      <c r="A162" s="49">
        <v>44470</v>
      </c>
      <c r="B162" s="39">
        <v>0</v>
      </c>
      <c r="C162" s="39">
        <v>0</v>
      </c>
      <c r="D162" s="39">
        <v>1644.1538</v>
      </c>
      <c r="E162" s="39">
        <v>1624.340919911235</v>
      </c>
      <c r="F162" s="39">
        <v>989.88720000000012</v>
      </c>
      <c r="G162" s="39">
        <v>1655.8284011138912</v>
      </c>
      <c r="H162" s="40">
        <v>-1.2050502871912006E-2</v>
      </c>
      <c r="I162" s="40">
        <v>0.67274453201727535</v>
      </c>
      <c r="J162" s="40">
        <v>0.24529926490328968</v>
      </c>
    </row>
    <row r="163" spans="1:10" ht="11.25" customHeight="1" x14ac:dyDescent="0.2">
      <c r="A163" s="49">
        <v>44501</v>
      </c>
      <c r="B163" s="39">
        <v>0</v>
      </c>
      <c r="C163" s="39">
        <v>0</v>
      </c>
      <c r="D163" s="39">
        <v>1651.8832000000002</v>
      </c>
      <c r="E163" s="39">
        <v>1631.9771767543368</v>
      </c>
      <c r="F163" s="39">
        <v>994.5408000000001</v>
      </c>
      <c r="G163" s="39">
        <v>1663.6126850680869</v>
      </c>
      <c r="H163" s="40">
        <v>-1.2050502871912117E-2</v>
      </c>
      <c r="I163" s="40">
        <v>0.67274453201727535</v>
      </c>
      <c r="J163" s="40">
        <v>0.24529926490328946</v>
      </c>
    </row>
    <row r="164" spans="1:10" ht="11.25" customHeight="1" x14ac:dyDescent="0.2">
      <c r="A164" s="49">
        <v>44531</v>
      </c>
      <c r="B164" s="39">
        <v>0</v>
      </c>
      <c r="C164" s="39">
        <v>0</v>
      </c>
      <c r="D164" s="39">
        <v>1713.9392400000002</v>
      </c>
      <c r="E164" s="39">
        <v>1693.2854102660972</v>
      </c>
      <c r="F164" s="39">
        <v>1031.90256</v>
      </c>
      <c r="G164" s="39">
        <v>1726.1093648146284</v>
      </c>
      <c r="H164" s="40">
        <v>-1.2050502871912117E-2</v>
      </c>
      <c r="I164" s="40">
        <v>0.67274453201727535</v>
      </c>
      <c r="J164" s="40">
        <v>0.24529926490328946</v>
      </c>
    </row>
    <row r="165" spans="1:10" ht="11.25" customHeight="1" x14ac:dyDescent="0.2">
      <c r="A165" s="49">
        <v>44562</v>
      </c>
      <c r="B165" s="39">
        <v>0</v>
      </c>
      <c r="C165" s="39">
        <v>0</v>
      </c>
      <c r="D165" s="39">
        <v>1721.4477999999999</v>
      </c>
      <c r="E165" s="39">
        <v>1700.7034883422532</v>
      </c>
      <c r="F165" s="39">
        <v>1036.4232</v>
      </c>
      <c r="G165" s="39">
        <v>1733.671240655847</v>
      </c>
      <c r="H165" s="40">
        <v>-1.2050502871912117E-2</v>
      </c>
      <c r="I165" s="40">
        <v>0.67274453201727535</v>
      </c>
      <c r="J165" s="40">
        <v>0.24529926490328946</v>
      </c>
    </row>
    <row r="166" spans="1:10" ht="11.25" customHeight="1" x14ac:dyDescent="0.2">
      <c r="A166" s="49">
        <v>44593</v>
      </c>
      <c r="B166" s="39">
        <v>0</v>
      </c>
      <c r="C166" s="39">
        <v>0</v>
      </c>
      <c r="D166" s="39">
        <v>1770.6951200000001</v>
      </c>
      <c r="E166" s="39">
        <v>1749.3573533711594</v>
      </c>
      <c r="F166" s="39">
        <v>1066.0732800000001</v>
      </c>
      <c r="G166" s="39">
        <v>1783.268249849722</v>
      </c>
      <c r="H166" s="40">
        <v>-1.2050502871912006E-2</v>
      </c>
      <c r="I166" s="40">
        <v>0.67274453201727558</v>
      </c>
      <c r="J166" s="40">
        <v>0.24529926490328968</v>
      </c>
    </row>
    <row r="167" spans="1:10" ht="11.25" customHeight="1" x14ac:dyDescent="0.2">
      <c r="A167" s="49">
        <v>44621</v>
      </c>
      <c r="B167" s="39">
        <v>0</v>
      </c>
      <c r="C167" s="39">
        <v>0</v>
      </c>
      <c r="D167" s="39">
        <v>1788.3623200000002</v>
      </c>
      <c r="E167" s="39">
        <v>1766.8116547268207</v>
      </c>
      <c r="F167" s="39">
        <v>1076.7100800000001</v>
      </c>
      <c r="G167" s="39">
        <v>1801.0608988878835</v>
      </c>
      <c r="H167" s="40">
        <v>-1.2050502871912117E-2</v>
      </c>
      <c r="I167" s="40">
        <v>0.67274453201727558</v>
      </c>
      <c r="J167" s="40">
        <v>0.24529926490328968</v>
      </c>
    </row>
    <row r="168" spans="1:10" ht="11.25" customHeight="1" x14ac:dyDescent="0.2">
      <c r="A168" s="49">
        <v>44652</v>
      </c>
      <c r="B168" s="39">
        <v>0</v>
      </c>
      <c r="C168" s="39">
        <v>0</v>
      </c>
      <c r="D168" s="39">
        <v>1855.056</v>
      </c>
      <c r="E168" s="39">
        <v>1832.7016423444425</v>
      </c>
      <c r="F168" s="39">
        <v>1116.864</v>
      </c>
      <c r="G168" s="39">
        <v>1868.2281490069424</v>
      </c>
      <c r="H168" s="40">
        <v>-1.2050502871912006E-2</v>
      </c>
      <c r="I168" s="40">
        <v>0.67274453201727558</v>
      </c>
      <c r="J168" s="40">
        <v>0.24529926490328968</v>
      </c>
    </row>
    <row r="169" spans="1:10" ht="11.25" customHeight="1" x14ac:dyDescent="0.2">
      <c r="A169" s="49">
        <v>44682</v>
      </c>
      <c r="B169" s="39">
        <v>0</v>
      </c>
      <c r="C169" s="39">
        <v>0</v>
      </c>
      <c r="D169" s="39">
        <v>1797.6376000000002</v>
      </c>
      <c r="E169" s="39">
        <v>1775.975162938543</v>
      </c>
      <c r="F169" s="39">
        <v>1082.2944000000002</v>
      </c>
      <c r="G169" s="39">
        <v>1810.4020396329181</v>
      </c>
      <c r="H169" s="40">
        <v>-1.2050502871912117E-2</v>
      </c>
      <c r="I169" s="40">
        <v>0.67274453201727535</v>
      </c>
      <c r="J169" s="40">
        <v>0.24529926490328946</v>
      </c>
    </row>
    <row r="170" spans="1:10" ht="11.25" customHeight="1" x14ac:dyDescent="0.2">
      <c r="A170" s="49">
        <v>44713</v>
      </c>
      <c r="B170" s="39">
        <v>0</v>
      </c>
      <c r="C170" s="39">
        <v>0</v>
      </c>
      <c r="D170" s="39">
        <v>2878.2077200000003</v>
      </c>
      <c r="E170" s="39">
        <v>2843.5238696041806</v>
      </c>
      <c r="F170" s="39">
        <v>1732.8676800000001</v>
      </c>
      <c r="G170" s="39">
        <v>2898.6449364294622</v>
      </c>
      <c r="H170" s="40">
        <v>-1.2050502871912117E-2</v>
      </c>
      <c r="I170" s="40">
        <v>0.67274453201727558</v>
      </c>
      <c r="J170" s="40">
        <v>0.24529926490328968</v>
      </c>
    </row>
    <row r="171" spans="1:10" ht="11.25" customHeight="1" x14ac:dyDescent="0.2">
      <c r="A171" s="49">
        <v>44743</v>
      </c>
      <c r="B171" s="39">
        <v>0</v>
      </c>
      <c r="C171" s="39">
        <v>0</v>
      </c>
      <c r="D171" s="39">
        <v>2795.8344000000002</v>
      </c>
      <c r="E171" s="39">
        <v>2762.1431895334094</v>
      </c>
      <c r="F171" s="39">
        <v>1683.2736000000002</v>
      </c>
      <c r="G171" s="39">
        <v>2815.6867102890346</v>
      </c>
      <c r="H171" s="40">
        <v>-1.2050502871912117E-2</v>
      </c>
      <c r="I171" s="40">
        <v>0.67274453201727535</v>
      </c>
      <c r="J171" s="40">
        <v>0.24529926490328946</v>
      </c>
    </row>
    <row r="172" spans="1:10" ht="11.25" customHeight="1" x14ac:dyDescent="0.2">
      <c r="A172" s="49">
        <v>44774</v>
      </c>
      <c r="B172" s="39">
        <v>0</v>
      </c>
      <c r="C172" s="39">
        <v>0</v>
      </c>
      <c r="D172" s="39">
        <v>2275.9770399999998</v>
      </c>
      <c r="E172" s="39">
        <v>2248.5503721430737</v>
      </c>
      <c r="F172" s="39">
        <v>1370.28576</v>
      </c>
      <c r="G172" s="39">
        <v>2292.1380123411363</v>
      </c>
      <c r="H172" s="40">
        <v>-1.2050502871912117E-2</v>
      </c>
      <c r="I172" s="40">
        <v>0.67274453201727535</v>
      </c>
      <c r="J172" s="40">
        <v>0.24529926490328968</v>
      </c>
    </row>
    <row r="173" spans="1:10" ht="11.25" customHeight="1" x14ac:dyDescent="0.2">
      <c r="A173" s="45" t="s">
        <v>31</v>
      </c>
      <c r="B173" s="39">
        <v>0</v>
      </c>
      <c r="C173" s="39">
        <v>0</v>
      </c>
      <c r="D173" s="39">
        <v>27960.331560000002</v>
      </c>
      <c r="E173" s="39">
        <v>27623.395504236607</v>
      </c>
      <c r="F173" s="39">
        <v>16833.932639999999</v>
      </c>
      <c r="G173" s="39">
        <v>28158.86877590714</v>
      </c>
      <c r="H173" s="40">
        <v>-1.2050502871912117E-2</v>
      </c>
      <c r="I173" s="40">
        <v>0.67274453201727558</v>
      </c>
      <c r="J173" s="40">
        <v>0.24529926490328968</v>
      </c>
    </row>
    <row r="174" spans="1:10" ht="11.25" customHeight="1" x14ac:dyDescent="0.2">
      <c r="A174" s="46" t="s">
        <v>25</v>
      </c>
      <c r="B174" s="39">
        <v>0</v>
      </c>
      <c r="C174" s="39">
        <v>0</v>
      </c>
      <c r="D174" s="39">
        <v>27960.331560000002</v>
      </c>
      <c r="E174" s="39">
        <v>27623.395504236607</v>
      </c>
      <c r="F174" s="39">
        <v>16833.932639999999</v>
      </c>
      <c r="G174" s="39">
        <v>28158.86877590714</v>
      </c>
      <c r="H174" s="40">
        <v>-1.2050502871912117E-2</v>
      </c>
      <c r="I174" s="40">
        <v>0.67274453201727558</v>
      </c>
      <c r="J174" s="40">
        <v>0.24529926490328968</v>
      </c>
    </row>
    <row r="175" spans="1:10" ht="11.25" customHeight="1" x14ac:dyDescent="0.2">
      <c r="A175" s="47" t="s">
        <v>25</v>
      </c>
      <c r="B175" s="39">
        <v>0</v>
      </c>
      <c r="C175" s="39">
        <v>0</v>
      </c>
      <c r="D175" s="39">
        <v>27960.331560000002</v>
      </c>
      <c r="E175" s="39">
        <v>27623.395504236607</v>
      </c>
      <c r="F175" s="39">
        <v>16833.932639999999</v>
      </c>
      <c r="G175" s="39">
        <v>28158.86877590714</v>
      </c>
      <c r="H175" s="40">
        <v>-1.2050502871912117E-2</v>
      </c>
      <c r="I175" s="40">
        <v>0.67274453201727558</v>
      </c>
      <c r="J175" s="40">
        <v>0.24529926490328968</v>
      </c>
    </row>
    <row r="176" spans="1:10" ht="11.25" customHeight="1" x14ac:dyDescent="0.2">
      <c r="A176" s="48" t="s">
        <v>25</v>
      </c>
      <c r="B176" s="39">
        <v>0</v>
      </c>
      <c r="C176" s="39">
        <v>0</v>
      </c>
      <c r="D176" s="39">
        <v>27960.331560000002</v>
      </c>
      <c r="E176" s="39">
        <v>27623.395504236607</v>
      </c>
      <c r="F176" s="39">
        <v>16833.932639999999</v>
      </c>
      <c r="G176" s="39">
        <v>28158.86877590714</v>
      </c>
      <c r="H176" s="40">
        <v>-1.2050502871912117E-2</v>
      </c>
      <c r="I176" s="40">
        <v>0.67274453201727558</v>
      </c>
      <c r="J176" s="40">
        <v>0.24529926490328968</v>
      </c>
    </row>
    <row r="177" spans="1:10" ht="11.25" customHeight="1" x14ac:dyDescent="0.2">
      <c r="A177" s="49">
        <v>44440</v>
      </c>
      <c r="B177" s="39">
        <v>0</v>
      </c>
      <c r="C177" s="39">
        <v>0</v>
      </c>
      <c r="D177" s="39">
        <v>2420.8480799999998</v>
      </c>
      <c r="E177" s="39">
        <v>2391.6756432594971</v>
      </c>
      <c r="F177" s="39">
        <v>1457.5075199999999</v>
      </c>
      <c r="G177" s="39">
        <v>2438.0377344540598</v>
      </c>
      <c r="H177" s="40">
        <v>-1.2050502871912006E-2</v>
      </c>
      <c r="I177" s="40">
        <v>0.67274453201727558</v>
      </c>
      <c r="J177" s="40">
        <v>0.24529926490328968</v>
      </c>
    </row>
    <row r="178" spans="1:10" ht="11.25" customHeight="1" x14ac:dyDescent="0.2">
      <c r="A178" s="49">
        <v>44470</v>
      </c>
      <c r="B178" s="39">
        <v>0</v>
      </c>
      <c r="C178" s="39">
        <v>0</v>
      </c>
      <c r="D178" s="39">
        <v>1746.73398</v>
      </c>
      <c r="E178" s="39">
        <v>1725.6849571575435</v>
      </c>
      <c r="F178" s="39">
        <v>1051.6471199999999</v>
      </c>
      <c r="G178" s="39">
        <v>1759.1369695917153</v>
      </c>
      <c r="H178" s="40">
        <v>-1.2050502871912117E-2</v>
      </c>
      <c r="I178" s="40">
        <v>0.67274453201727558</v>
      </c>
      <c r="J178" s="40">
        <v>0.24529926490328968</v>
      </c>
    </row>
    <row r="179" spans="1:10" ht="11.25" customHeight="1" x14ac:dyDescent="0.2">
      <c r="A179" s="49">
        <v>44501</v>
      </c>
      <c r="B179" s="39">
        <v>0</v>
      </c>
      <c r="C179" s="39">
        <v>0</v>
      </c>
      <c r="D179" s="39">
        <v>1809.67338</v>
      </c>
      <c r="E179" s="39">
        <v>1787.8659057370871</v>
      </c>
      <c r="F179" s="39">
        <v>1089.54072</v>
      </c>
      <c r="G179" s="39">
        <v>1822.5232817901654</v>
      </c>
      <c r="H179" s="40">
        <v>-1.2050502871912117E-2</v>
      </c>
      <c r="I179" s="40">
        <v>0.67274453201727558</v>
      </c>
      <c r="J179" s="40">
        <v>0.24529926490328968</v>
      </c>
    </row>
    <row r="180" spans="1:10" ht="11.25" customHeight="1" x14ac:dyDescent="0.2">
      <c r="A180" s="49">
        <v>44531</v>
      </c>
      <c r="B180" s="39">
        <v>0</v>
      </c>
      <c r="C180" s="39">
        <v>0</v>
      </c>
      <c r="D180" s="39">
        <v>2208.84168</v>
      </c>
      <c r="E180" s="39">
        <v>2182.224026991561</v>
      </c>
      <c r="F180" s="39">
        <v>1329.86592</v>
      </c>
      <c r="G180" s="39">
        <v>2224.5259459961235</v>
      </c>
      <c r="H180" s="40">
        <v>-1.2050502871912006E-2</v>
      </c>
      <c r="I180" s="40">
        <v>0.67274453201727558</v>
      </c>
      <c r="J180" s="40">
        <v>0.24529926490328968</v>
      </c>
    </row>
    <row r="181" spans="1:10" ht="11.25" customHeight="1" x14ac:dyDescent="0.2">
      <c r="A181" s="49">
        <v>44562</v>
      </c>
      <c r="B181" s="39">
        <v>0</v>
      </c>
      <c r="C181" s="39">
        <v>0</v>
      </c>
      <c r="D181" s="39">
        <v>2483.78748</v>
      </c>
      <c r="E181" s="39">
        <v>2453.8565918390409</v>
      </c>
      <c r="F181" s="39">
        <v>1495.40112</v>
      </c>
      <c r="G181" s="39">
        <v>2501.4240466525098</v>
      </c>
      <c r="H181" s="40">
        <v>-1.2050502871912006E-2</v>
      </c>
      <c r="I181" s="40">
        <v>0.67274453201727558</v>
      </c>
      <c r="J181" s="40">
        <v>0.2452992649032899</v>
      </c>
    </row>
    <row r="182" spans="1:10" ht="11.25" customHeight="1" x14ac:dyDescent="0.2">
      <c r="A182" s="49">
        <v>44593</v>
      </c>
      <c r="B182" s="39">
        <v>0</v>
      </c>
      <c r="C182" s="39">
        <v>0</v>
      </c>
      <c r="D182" s="39">
        <v>2387.3908200000001</v>
      </c>
      <c r="E182" s="39">
        <v>2358.6215600672135</v>
      </c>
      <c r="F182" s="39">
        <v>1437.3640800000001</v>
      </c>
      <c r="G182" s="39">
        <v>2404.3429053380419</v>
      </c>
      <c r="H182" s="40">
        <v>-1.2050502871912117E-2</v>
      </c>
      <c r="I182" s="40">
        <v>0.67274453201727558</v>
      </c>
      <c r="J182" s="40">
        <v>0.24529926490328968</v>
      </c>
    </row>
    <row r="183" spans="1:10" ht="11.25" customHeight="1" x14ac:dyDescent="0.2">
      <c r="A183" s="49">
        <v>44621</v>
      </c>
      <c r="B183" s="39">
        <v>0</v>
      </c>
      <c r="C183" s="39">
        <v>0</v>
      </c>
      <c r="D183" s="39">
        <v>2600.0597400000001</v>
      </c>
      <c r="E183" s="39">
        <v>2568.7277126359872</v>
      </c>
      <c r="F183" s="39">
        <v>1565.4045599999999</v>
      </c>
      <c r="G183" s="39">
        <v>2618.5219181349094</v>
      </c>
      <c r="H183" s="40">
        <v>-1.2050502871912006E-2</v>
      </c>
      <c r="I183" s="40">
        <v>0.6727445320172758</v>
      </c>
      <c r="J183" s="40">
        <v>0.2452992649032899</v>
      </c>
    </row>
    <row r="184" spans="1:10" ht="11.25" customHeight="1" x14ac:dyDescent="0.2">
      <c r="A184" s="49">
        <v>44652</v>
      </c>
      <c r="B184" s="39">
        <v>0</v>
      </c>
      <c r="C184" s="39">
        <v>0</v>
      </c>
      <c r="D184" s="39">
        <v>2632.52322</v>
      </c>
      <c r="E184" s="39">
        <v>2600.799991377015</v>
      </c>
      <c r="F184" s="39">
        <v>1584.9496799999999</v>
      </c>
      <c r="G184" s="39">
        <v>2651.2159107425305</v>
      </c>
      <c r="H184" s="40">
        <v>-1.2050502871912006E-2</v>
      </c>
      <c r="I184" s="40">
        <v>0.67274453201727558</v>
      </c>
      <c r="J184" s="40">
        <v>0.24529926490328968</v>
      </c>
    </row>
    <row r="185" spans="1:10" ht="11.25" customHeight="1" x14ac:dyDescent="0.2">
      <c r="A185" s="49">
        <v>44682</v>
      </c>
      <c r="B185" s="39">
        <v>0</v>
      </c>
      <c r="C185" s="39">
        <v>0</v>
      </c>
      <c r="D185" s="39">
        <v>2117.7451799999999</v>
      </c>
      <c r="E185" s="39">
        <v>2092.2252856264322</v>
      </c>
      <c r="F185" s="39">
        <v>1275.01992</v>
      </c>
      <c r="G185" s="39">
        <v>2132.7825993931042</v>
      </c>
      <c r="H185" s="40">
        <v>-1.2050502871912006E-2</v>
      </c>
      <c r="I185" s="40">
        <v>0.67274453201727558</v>
      </c>
      <c r="J185" s="40">
        <v>0.24529926490329013</v>
      </c>
    </row>
    <row r="186" spans="1:10" ht="11.25" customHeight="1" x14ac:dyDescent="0.2">
      <c r="A186" s="49">
        <v>44713</v>
      </c>
      <c r="B186" s="39">
        <v>0</v>
      </c>
      <c r="C186" s="39">
        <v>0</v>
      </c>
      <c r="D186" s="39">
        <v>2723.9509799999996</v>
      </c>
      <c r="E186" s="39">
        <v>2691.1260008925624</v>
      </c>
      <c r="F186" s="39">
        <v>1639.99512</v>
      </c>
      <c r="G186" s="39">
        <v>2743.2928695150154</v>
      </c>
      <c r="H186" s="40">
        <v>-1.2050502871911895E-2</v>
      </c>
      <c r="I186" s="40">
        <v>0.67274453201727535</v>
      </c>
      <c r="J186" s="40">
        <v>0.2452992649032899</v>
      </c>
    </row>
    <row r="187" spans="1:10" ht="11.25" customHeight="1" x14ac:dyDescent="0.2">
      <c r="A187" s="49">
        <v>44743</v>
      </c>
      <c r="B187" s="39">
        <v>0</v>
      </c>
      <c r="C187" s="39">
        <v>0</v>
      </c>
      <c r="D187" s="39">
        <v>2439.7298999999998</v>
      </c>
      <c r="E187" s="39">
        <v>2410.3299278333602</v>
      </c>
      <c r="F187" s="39">
        <v>1468.8756000000001</v>
      </c>
      <c r="G187" s="39">
        <v>2457.0536281135946</v>
      </c>
      <c r="H187" s="40">
        <v>-1.2050502871912006E-2</v>
      </c>
      <c r="I187" s="40">
        <v>0.67274453201727535</v>
      </c>
      <c r="J187" s="40">
        <v>0.2452992649032899</v>
      </c>
    </row>
    <row r="188" spans="1:10" ht="11.25" customHeight="1" x14ac:dyDescent="0.2">
      <c r="A188" s="49">
        <v>44774</v>
      </c>
      <c r="B188" s="39">
        <v>0</v>
      </c>
      <c r="C188" s="39">
        <v>0</v>
      </c>
      <c r="D188" s="39">
        <v>2389.0471199999997</v>
      </c>
      <c r="E188" s="39">
        <v>2360.2579008193065</v>
      </c>
      <c r="F188" s="39">
        <v>1438.3612799999999</v>
      </c>
      <c r="G188" s="39">
        <v>2406.0109661853694</v>
      </c>
      <c r="H188" s="40">
        <v>-1.2050502871912006E-2</v>
      </c>
      <c r="I188" s="40">
        <v>0.6727445320172758</v>
      </c>
      <c r="J188" s="40">
        <v>0.24529926490328968</v>
      </c>
    </row>
    <row r="189" spans="1:10" ht="11.25" customHeight="1" x14ac:dyDescent="0.2">
      <c r="A189" s="45" t="s">
        <v>32</v>
      </c>
      <c r="B189" s="39">
        <v>0</v>
      </c>
      <c r="C189" s="39">
        <v>0</v>
      </c>
      <c r="D189" s="39">
        <v>7011.7335000000003</v>
      </c>
      <c r="E189" s="39">
        <v>6927.1758505281005</v>
      </c>
      <c r="F189" s="39">
        <v>4221.4800000000005</v>
      </c>
      <c r="G189" s="39">
        <v>7061.4575870202889</v>
      </c>
      <c r="H189" s="40">
        <v>-1.2059449987923743E-2</v>
      </c>
      <c r="I189" s="40">
        <v>0.67274453201727558</v>
      </c>
      <c r="J189" s="40">
        <v>0.24529222537686013</v>
      </c>
    </row>
    <row r="190" spans="1:10" ht="11.25" customHeight="1" x14ac:dyDescent="0.2">
      <c r="A190" s="46" t="s">
        <v>25</v>
      </c>
      <c r="B190" s="39">
        <v>0</v>
      </c>
      <c r="C190" s="39">
        <v>0</v>
      </c>
      <c r="D190" s="39">
        <v>7011.7335000000003</v>
      </c>
      <c r="E190" s="39">
        <v>6927.1758505281005</v>
      </c>
      <c r="F190" s="39">
        <v>4221.4800000000005</v>
      </c>
      <c r="G190" s="39">
        <v>7061.4575870202889</v>
      </c>
      <c r="H190" s="40">
        <v>-1.2059449987923743E-2</v>
      </c>
      <c r="I190" s="40">
        <v>0.67274453201727558</v>
      </c>
      <c r="J190" s="40">
        <v>0.24529222537686013</v>
      </c>
    </row>
    <row r="191" spans="1:10" ht="11.25" customHeight="1" x14ac:dyDescent="0.2">
      <c r="A191" s="47" t="s">
        <v>25</v>
      </c>
      <c r="B191" s="39">
        <v>0</v>
      </c>
      <c r="C191" s="39">
        <v>0</v>
      </c>
      <c r="D191" s="39">
        <v>7011.7335000000003</v>
      </c>
      <c r="E191" s="39">
        <v>6927.1758505281005</v>
      </c>
      <c r="F191" s="39">
        <v>4221.4800000000005</v>
      </c>
      <c r="G191" s="39">
        <v>7061.4575870202889</v>
      </c>
      <c r="H191" s="40">
        <v>-1.2059449987923743E-2</v>
      </c>
      <c r="I191" s="40">
        <v>0.67274453201727558</v>
      </c>
      <c r="J191" s="40">
        <v>0.24529222537686013</v>
      </c>
    </row>
    <row r="192" spans="1:10" ht="11.25" customHeight="1" x14ac:dyDescent="0.2">
      <c r="A192" s="48" t="s">
        <v>25</v>
      </c>
      <c r="B192" s="39">
        <v>0</v>
      </c>
      <c r="C192" s="39">
        <v>0</v>
      </c>
      <c r="D192" s="39">
        <v>7011.7335000000003</v>
      </c>
      <c r="E192" s="39">
        <v>6927.1758505281005</v>
      </c>
      <c r="F192" s="39">
        <v>4221.4800000000005</v>
      </c>
      <c r="G192" s="39">
        <v>7061.4575870202889</v>
      </c>
      <c r="H192" s="40">
        <v>-1.2059449987923743E-2</v>
      </c>
      <c r="I192" s="40">
        <v>0.67274453201727558</v>
      </c>
      <c r="J192" s="40">
        <v>0.24529222537686013</v>
      </c>
    </row>
    <row r="193" spans="1:10" ht="11.25" customHeight="1" x14ac:dyDescent="0.2">
      <c r="A193" s="49">
        <v>44440</v>
      </c>
      <c r="B193" s="39">
        <v>0</v>
      </c>
      <c r="C193" s="39">
        <v>0</v>
      </c>
      <c r="D193" s="39">
        <v>71.773650000000004</v>
      </c>
      <c r="E193" s="39">
        <v>70.908099257374261</v>
      </c>
      <c r="F193" s="39">
        <v>43.212000000000003</v>
      </c>
      <c r="G193" s="39">
        <v>72.282636717530508</v>
      </c>
      <c r="H193" s="40">
        <v>-1.2059449987923743E-2</v>
      </c>
      <c r="I193" s="40">
        <v>0.67274453201727535</v>
      </c>
      <c r="J193" s="40">
        <v>0.24529222537686035</v>
      </c>
    </row>
    <row r="194" spans="1:10" ht="11.25" customHeight="1" x14ac:dyDescent="0.2">
      <c r="A194" s="49">
        <v>44470</v>
      </c>
      <c r="B194" s="39">
        <v>0</v>
      </c>
      <c r="C194" s="39">
        <v>0</v>
      </c>
      <c r="D194" s="39">
        <v>336.41597999999999</v>
      </c>
      <c r="E194" s="39">
        <v>332.3589883140516</v>
      </c>
      <c r="F194" s="39">
        <v>202.54239999999999</v>
      </c>
      <c r="G194" s="39">
        <v>338.80169210165576</v>
      </c>
      <c r="H194" s="40">
        <v>-1.2059449987923854E-2</v>
      </c>
      <c r="I194" s="40">
        <v>0.67274453201727535</v>
      </c>
      <c r="J194" s="40">
        <v>0.24529222537685991</v>
      </c>
    </row>
    <row r="195" spans="1:10" ht="11.25" customHeight="1" x14ac:dyDescent="0.2">
      <c r="A195" s="49">
        <v>44501</v>
      </c>
      <c r="B195" s="39">
        <v>0</v>
      </c>
      <c r="C195" s="39">
        <v>0</v>
      </c>
      <c r="D195" s="39">
        <v>379.1121</v>
      </c>
      <c r="E195" s="39">
        <v>374.54021659023329</v>
      </c>
      <c r="F195" s="39">
        <v>228.24799999999999</v>
      </c>
      <c r="G195" s="39">
        <v>381.80059394387911</v>
      </c>
      <c r="H195" s="40">
        <v>-1.2059449987923632E-2</v>
      </c>
      <c r="I195" s="40">
        <v>0.67274453201727558</v>
      </c>
      <c r="J195" s="40">
        <v>0.24529222537686035</v>
      </c>
    </row>
    <row r="196" spans="1:10" ht="11.25" customHeight="1" x14ac:dyDescent="0.2">
      <c r="A196" s="49">
        <v>44531</v>
      </c>
      <c r="B196" s="39">
        <v>0</v>
      </c>
      <c r="C196" s="39">
        <v>0</v>
      </c>
      <c r="D196" s="39">
        <v>586.70357999999999</v>
      </c>
      <c r="E196" s="39">
        <v>579.62825751925425</v>
      </c>
      <c r="F196" s="39">
        <v>353.23040000000003</v>
      </c>
      <c r="G196" s="39">
        <v>590.86422014227503</v>
      </c>
      <c r="H196" s="40">
        <v>-1.2059449987923632E-2</v>
      </c>
      <c r="I196" s="40">
        <v>0.67274453201727535</v>
      </c>
      <c r="J196" s="40">
        <v>0.24529222537686035</v>
      </c>
    </row>
    <row r="197" spans="1:10" ht="11.25" customHeight="1" x14ac:dyDescent="0.2">
      <c r="A197" s="49">
        <v>44562</v>
      </c>
      <c r="B197" s="39">
        <v>0</v>
      </c>
      <c r="C197" s="39">
        <v>0</v>
      </c>
      <c r="D197" s="39">
        <v>898.09079999999994</v>
      </c>
      <c r="E197" s="39">
        <v>887.26031891278558</v>
      </c>
      <c r="F197" s="39">
        <v>540.70399999999995</v>
      </c>
      <c r="G197" s="39">
        <v>904.45965943986891</v>
      </c>
      <c r="H197" s="40">
        <v>-1.2059449987923632E-2</v>
      </c>
      <c r="I197" s="40">
        <v>0.67274453201727558</v>
      </c>
      <c r="J197" s="40">
        <v>0.24529222537686013</v>
      </c>
    </row>
    <row r="198" spans="1:10" ht="11.25" customHeight="1" x14ac:dyDescent="0.2">
      <c r="A198" s="49">
        <v>44593</v>
      </c>
      <c r="B198" s="39">
        <v>0</v>
      </c>
      <c r="C198" s="39">
        <v>0</v>
      </c>
      <c r="D198" s="39">
        <v>782.14874999999995</v>
      </c>
      <c r="E198" s="39">
        <v>772.71646626625795</v>
      </c>
      <c r="F198" s="39">
        <v>470.9</v>
      </c>
      <c r="G198" s="39">
        <v>787.69540012693506</v>
      </c>
      <c r="H198" s="40">
        <v>-1.2059449987923632E-2</v>
      </c>
      <c r="I198" s="40">
        <v>0.67274453201727558</v>
      </c>
      <c r="J198" s="40">
        <v>0.24529222537686035</v>
      </c>
    </row>
    <row r="199" spans="1:10" ht="11.25" customHeight="1" x14ac:dyDescent="0.2">
      <c r="A199" s="49">
        <v>44621</v>
      </c>
      <c r="B199" s="39">
        <v>0</v>
      </c>
      <c r="C199" s="39">
        <v>0</v>
      </c>
      <c r="D199" s="39">
        <v>961.03077000000008</v>
      </c>
      <c r="E199" s="39">
        <v>949.4412674923293</v>
      </c>
      <c r="F199" s="39">
        <v>578.59760000000006</v>
      </c>
      <c r="G199" s="39">
        <v>967.84597163831882</v>
      </c>
      <c r="H199" s="40">
        <v>-1.2059449987923632E-2</v>
      </c>
      <c r="I199" s="40">
        <v>0.67274453201727535</v>
      </c>
      <c r="J199" s="40">
        <v>0.24529222537686035</v>
      </c>
    </row>
    <row r="200" spans="1:10" ht="11.25" customHeight="1" x14ac:dyDescent="0.2">
      <c r="A200" s="49">
        <v>44652</v>
      </c>
      <c r="B200" s="39">
        <v>0</v>
      </c>
      <c r="C200" s="39">
        <v>0</v>
      </c>
      <c r="D200" s="39">
        <v>757.85613000000001</v>
      </c>
      <c r="E200" s="39">
        <v>748.71680190222366</v>
      </c>
      <c r="F200" s="39">
        <v>456.27440000000001</v>
      </c>
      <c r="G200" s="39">
        <v>763.23050769946326</v>
      </c>
      <c r="H200" s="40">
        <v>-1.2059449987923632E-2</v>
      </c>
      <c r="I200" s="40">
        <v>0.67274453201727558</v>
      </c>
      <c r="J200" s="40">
        <v>0.24529222537686035</v>
      </c>
    </row>
    <row r="201" spans="1:10" ht="11.25" customHeight="1" x14ac:dyDescent="0.2">
      <c r="A201" s="49">
        <v>44682</v>
      </c>
      <c r="B201" s="39">
        <v>0</v>
      </c>
      <c r="C201" s="39">
        <v>0</v>
      </c>
      <c r="D201" s="39">
        <v>529.28465999999992</v>
      </c>
      <c r="E201" s="39">
        <v>522.90177811335479</v>
      </c>
      <c r="F201" s="39">
        <v>318.66079999999999</v>
      </c>
      <c r="G201" s="39">
        <v>533.03811076825059</v>
      </c>
      <c r="H201" s="40">
        <v>-1.2059449987923521E-2</v>
      </c>
      <c r="I201" s="40">
        <v>0.67274453201727535</v>
      </c>
      <c r="J201" s="40">
        <v>0.24529222537686035</v>
      </c>
    </row>
    <row r="202" spans="1:10" ht="11.25" customHeight="1" x14ac:dyDescent="0.2">
      <c r="A202" s="49">
        <v>44713</v>
      </c>
      <c r="B202" s="39">
        <v>0</v>
      </c>
      <c r="C202" s="39">
        <v>0</v>
      </c>
      <c r="D202" s="39">
        <v>818.21960999999999</v>
      </c>
      <c r="E202" s="39">
        <v>808.35233153406659</v>
      </c>
      <c r="F202" s="39">
        <v>492.61679999999996</v>
      </c>
      <c r="G202" s="39">
        <v>824.02205857984768</v>
      </c>
      <c r="H202" s="40">
        <v>-1.2059449987923632E-2</v>
      </c>
      <c r="I202" s="40">
        <v>0.67274453201727535</v>
      </c>
      <c r="J202" s="40">
        <v>0.24529222537686013</v>
      </c>
    </row>
    <row r="203" spans="1:10" ht="11.25" customHeight="1" x14ac:dyDescent="0.2">
      <c r="A203" s="49">
        <v>44743</v>
      </c>
      <c r="B203" s="39">
        <v>0</v>
      </c>
      <c r="C203" s="39">
        <v>0</v>
      </c>
      <c r="D203" s="39">
        <v>463.40012999999993</v>
      </c>
      <c r="E203" s="39">
        <v>457.8117793078676</v>
      </c>
      <c r="F203" s="39">
        <v>278.99439999999998</v>
      </c>
      <c r="G203" s="39">
        <v>466.68635706344054</v>
      </c>
      <c r="H203" s="40">
        <v>-1.2059449987923743E-2</v>
      </c>
      <c r="I203" s="40">
        <v>0.67274453201727558</v>
      </c>
      <c r="J203" s="40">
        <v>0.24529222537686035</v>
      </c>
    </row>
    <row r="204" spans="1:10" ht="11.25" customHeight="1" x14ac:dyDescent="0.2">
      <c r="A204" s="49">
        <v>44774</v>
      </c>
      <c r="B204" s="39">
        <v>0</v>
      </c>
      <c r="C204" s="39">
        <v>0</v>
      </c>
      <c r="D204" s="39">
        <v>427.69733999999994</v>
      </c>
      <c r="E204" s="39">
        <v>422.53954531830198</v>
      </c>
      <c r="F204" s="39">
        <v>257.49919999999997</v>
      </c>
      <c r="G204" s="39">
        <v>430.73037879882281</v>
      </c>
      <c r="H204" s="40">
        <v>-1.2059449987923632E-2</v>
      </c>
      <c r="I204" s="40">
        <v>0.67274453201727558</v>
      </c>
      <c r="J204" s="40">
        <v>0.24529222537686035</v>
      </c>
    </row>
    <row r="205" spans="1:10" ht="11.25" customHeight="1" x14ac:dyDescent="0.2">
      <c r="A205" s="42" t="s">
        <v>41</v>
      </c>
      <c r="B205" s="39">
        <v>0</v>
      </c>
      <c r="C205" s="39">
        <v>0</v>
      </c>
      <c r="D205" s="39">
        <v>562997.77560000005</v>
      </c>
      <c r="E205" s="39">
        <v>646473.10559330345</v>
      </c>
      <c r="F205" s="39">
        <v>269873.565</v>
      </c>
      <c r="G205" s="39">
        <v>482228.59926485893</v>
      </c>
      <c r="H205" s="40">
        <v>0.14826937798171924</v>
      </c>
      <c r="I205" s="40">
        <v>0.78686859998628944</v>
      </c>
      <c r="J205" s="40">
        <v>0.35519335320752687</v>
      </c>
    </row>
    <row r="206" spans="1:10" ht="11.25" customHeight="1" x14ac:dyDescent="0.2">
      <c r="A206" s="43" t="s">
        <v>23</v>
      </c>
      <c r="B206" s="39">
        <v>0</v>
      </c>
      <c r="C206" s="39">
        <v>0</v>
      </c>
      <c r="D206" s="39">
        <v>562997.77560000005</v>
      </c>
      <c r="E206" s="39">
        <v>646473.10559330345</v>
      </c>
      <c r="F206" s="39">
        <v>269873.565</v>
      </c>
      <c r="G206" s="39">
        <v>482228.59926485893</v>
      </c>
      <c r="H206" s="40">
        <v>0.14826937798171924</v>
      </c>
      <c r="I206" s="40">
        <v>0.78686859998628944</v>
      </c>
      <c r="J206" s="40">
        <v>0.35519335320752687</v>
      </c>
    </row>
    <row r="207" spans="1:10" ht="11.25" customHeight="1" x14ac:dyDescent="0.2">
      <c r="A207" s="44" t="s">
        <v>42</v>
      </c>
      <c r="B207" s="39">
        <v>0</v>
      </c>
      <c r="C207" s="39">
        <v>0</v>
      </c>
      <c r="D207" s="39">
        <v>562997.77560000005</v>
      </c>
      <c r="E207" s="39">
        <v>646473.10559330345</v>
      </c>
      <c r="F207" s="39">
        <v>269873.565</v>
      </c>
      <c r="G207" s="39">
        <v>482228.59926485893</v>
      </c>
      <c r="H207" s="40">
        <v>0.14826937798171924</v>
      </c>
      <c r="I207" s="40">
        <v>0.78686859998628944</v>
      </c>
      <c r="J207" s="40">
        <v>0.35519335320752687</v>
      </c>
    </row>
    <row r="208" spans="1:10" ht="11.25" customHeight="1" x14ac:dyDescent="0.2">
      <c r="A208" s="45" t="s">
        <v>25</v>
      </c>
      <c r="B208" s="39">
        <v>0</v>
      </c>
      <c r="C208" s="39">
        <v>0</v>
      </c>
      <c r="D208" s="39">
        <v>562997.77560000005</v>
      </c>
      <c r="E208" s="39">
        <v>646473.10559330345</v>
      </c>
      <c r="F208" s="39">
        <v>269873.565</v>
      </c>
      <c r="G208" s="39">
        <v>482228.59926485893</v>
      </c>
      <c r="H208" s="40">
        <v>0.14826937798171924</v>
      </c>
      <c r="I208" s="40">
        <v>0.78686859998628944</v>
      </c>
      <c r="J208" s="40">
        <v>0.35519335320752687</v>
      </c>
    </row>
    <row r="209" spans="1:10" ht="11.25" customHeight="1" x14ac:dyDescent="0.2">
      <c r="A209" s="46" t="s">
        <v>25</v>
      </c>
      <c r="B209" s="39">
        <v>0</v>
      </c>
      <c r="C209" s="39">
        <v>0</v>
      </c>
      <c r="D209" s="39">
        <v>562997.77560000005</v>
      </c>
      <c r="E209" s="39">
        <v>646473.10559330345</v>
      </c>
      <c r="F209" s="39">
        <v>269873.565</v>
      </c>
      <c r="G209" s="39">
        <v>482228.59926485893</v>
      </c>
      <c r="H209" s="40">
        <v>0.14826937798171924</v>
      </c>
      <c r="I209" s="40">
        <v>0.78686859998628944</v>
      </c>
      <c r="J209" s="40">
        <v>0.35519335320752687</v>
      </c>
    </row>
    <row r="210" spans="1:10" ht="11.25" customHeight="1" x14ac:dyDescent="0.2">
      <c r="A210" s="47" t="s">
        <v>25</v>
      </c>
      <c r="B210" s="39">
        <v>0</v>
      </c>
      <c r="C210" s="39">
        <v>0</v>
      </c>
      <c r="D210" s="39">
        <v>562997.77560000005</v>
      </c>
      <c r="E210" s="39">
        <v>646473.10559330345</v>
      </c>
      <c r="F210" s="39">
        <v>269873.565</v>
      </c>
      <c r="G210" s="39">
        <v>482228.59926485893</v>
      </c>
      <c r="H210" s="40">
        <v>0.14826937798171924</v>
      </c>
      <c r="I210" s="40">
        <v>0.78686859998628944</v>
      </c>
      <c r="J210" s="40">
        <v>0.35519335320752687</v>
      </c>
    </row>
    <row r="211" spans="1:10" ht="11.25" customHeight="1" x14ac:dyDescent="0.2">
      <c r="A211" s="48" t="s">
        <v>25</v>
      </c>
      <c r="B211" s="39">
        <v>0</v>
      </c>
      <c r="C211" s="39">
        <v>0</v>
      </c>
      <c r="D211" s="39">
        <v>562997.77560000005</v>
      </c>
      <c r="E211" s="39">
        <v>646473.10559330345</v>
      </c>
      <c r="F211" s="39">
        <v>269873.565</v>
      </c>
      <c r="G211" s="39">
        <v>482228.59926485893</v>
      </c>
      <c r="H211" s="40">
        <v>0.14826937798171924</v>
      </c>
      <c r="I211" s="40">
        <v>0.78686859998628944</v>
      </c>
      <c r="J211" s="40">
        <v>0.35519335320752687</v>
      </c>
    </row>
    <row r="212" spans="1:10" ht="11.25" customHeight="1" x14ac:dyDescent="0.2">
      <c r="A212" s="49">
        <v>44440</v>
      </c>
      <c r="B212" s="39">
        <v>0</v>
      </c>
      <c r="C212" s="39">
        <v>0</v>
      </c>
      <c r="D212" s="39">
        <v>44323.707600000002</v>
      </c>
      <c r="E212" s="39">
        <v>50895.556155695602</v>
      </c>
      <c r="F212" s="39">
        <v>21246.615000000002</v>
      </c>
      <c r="G212" s="39">
        <v>37964.909199497706</v>
      </c>
      <c r="H212" s="40">
        <v>0.14826937798171924</v>
      </c>
      <c r="I212" s="40">
        <v>0.78686859998628966</v>
      </c>
      <c r="J212" s="40">
        <v>0.3551933532075271</v>
      </c>
    </row>
    <row r="213" spans="1:10" ht="11.25" customHeight="1" x14ac:dyDescent="0.2">
      <c r="A213" s="49">
        <v>44470</v>
      </c>
      <c r="B213" s="39">
        <v>0</v>
      </c>
      <c r="C213" s="39">
        <v>0</v>
      </c>
      <c r="D213" s="39">
        <v>43248.128400000001</v>
      </c>
      <c r="E213" s="39">
        <v>49660.501496741534</v>
      </c>
      <c r="F213" s="39">
        <v>20731.035000000003</v>
      </c>
      <c r="G213" s="39">
        <v>37043.635486716776</v>
      </c>
      <c r="H213" s="40">
        <v>0.14826937798171946</v>
      </c>
      <c r="I213" s="40">
        <v>0.78686859998628966</v>
      </c>
      <c r="J213" s="40">
        <v>0.3551933532075271</v>
      </c>
    </row>
    <row r="214" spans="1:10" ht="11.25" customHeight="1" x14ac:dyDescent="0.2">
      <c r="A214" s="49">
        <v>44501</v>
      </c>
      <c r="B214" s="39">
        <v>0</v>
      </c>
      <c r="C214" s="39">
        <v>0</v>
      </c>
      <c r="D214" s="39">
        <v>45276.026400000002</v>
      </c>
      <c r="E214" s="39">
        <v>51989.074671811904</v>
      </c>
      <c r="F214" s="39">
        <v>21703.11</v>
      </c>
      <c r="G214" s="39">
        <v>38780.605781048442</v>
      </c>
      <c r="H214" s="40">
        <v>0.14826937798171924</v>
      </c>
      <c r="I214" s="40">
        <v>0.78686859998628966</v>
      </c>
      <c r="J214" s="40">
        <v>0.3551933532075271</v>
      </c>
    </row>
    <row r="215" spans="1:10" ht="11.25" customHeight="1" x14ac:dyDescent="0.2">
      <c r="A215" s="49">
        <v>44531</v>
      </c>
      <c r="B215" s="39">
        <v>0</v>
      </c>
      <c r="C215" s="39">
        <v>0</v>
      </c>
      <c r="D215" s="39">
        <v>47379.589200000009</v>
      </c>
      <c r="E215" s="39">
        <v>54404.531419713392</v>
      </c>
      <c r="F215" s="39">
        <v>22711.455000000002</v>
      </c>
      <c r="G215" s="39">
        <v>40582.385799501622</v>
      </c>
      <c r="H215" s="40">
        <v>0.14826937798171924</v>
      </c>
      <c r="I215" s="40">
        <v>0.78686859998628966</v>
      </c>
      <c r="J215" s="40">
        <v>0.35519335320752732</v>
      </c>
    </row>
    <row r="216" spans="1:10" ht="11.25" customHeight="1" x14ac:dyDescent="0.2">
      <c r="A216" s="49">
        <v>44562</v>
      </c>
      <c r="B216" s="39">
        <v>0</v>
      </c>
      <c r="C216" s="39">
        <v>0</v>
      </c>
      <c r="D216" s="39">
        <v>55059.566400000003</v>
      </c>
      <c r="E216" s="39">
        <v>63223.21406207118</v>
      </c>
      <c r="F216" s="39">
        <v>26392.86</v>
      </c>
      <c r="G216" s="39">
        <v>47160.572797834153</v>
      </c>
      <c r="H216" s="40">
        <v>0.14826937798171946</v>
      </c>
      <c r="I216" s="40">
        <v>0.78686859998628988</v>
      </c>
      <c r="J216" s="40">
        <v>0.35519335320752754</v>
      </c>
    </row>
    <row r="217" spans="1:10" ht="11.25" customHeight="1" x14ac:dyDescent="0.2">
      <c r="A217" s="49">
        <v>44593</v>
      </c>
      <c r="B217" s="39">
        <v>0</v>
      </c>
      <c r="C217" s="39">
        <v>0</v>
      </c>
      <c r="D217" s="39">
        <v>52386.890399999997</v>
      </c>
      <c r="E217" s="39">
        <v>60154.262054004495</v>
      </c>
      <c r="F217" s="39">
        <v>25111.709999999995</v>
      </c>
      <c r="G217" s="39">
        <v>44871.326090961717</v>
      </c>
      <c r="H217" s="40">
        <v>0.14826937798171924</v>
      </c>
      <c r="I217" s="40">
        <v>0.78686859998629033</v>
      </c>
      <c r="J217" s="40">
        <v>0.35519335320752732</v>
      </c>
    </row>
    <row r="218" spans="1:10" ht="11.25" customHeight="1" x14ac:dyDescent="0.2">
      <c r="A218" s="49">
        <v>44621</v>
      </c>
      <c r="B218" s="39">
        <v>0</v>
      </c>
      <c r="C218" s="39">
        <v>0</v>
      </c>
      <c r="D218" s="39">
        <v>53935.984800000006</v>
      </c>
      <c r="E218" s="39">
        <v>61933.039717127474</v>
      </c>
      <c r="F218" s="39">
        <v>25854.270000000004</v>
      </c>
      <c r="G218" s="39">
        <v>46198.183238567537</v>
      </c>
      <c r="H218" s="40">
        <v>0.14826937798171924</v>
      </c>
      <c r="I218" s="40">
        <v>0.78686859998628966</v>
      </c>
      <c r="J218" s="40">
        <v>0.3551933532075271</v>
      </c>
    </row>
    <row r="219" spans="1:10" ht="11.25" customHeight="1" x14ac:dyDescent="0.2">
      <c r="A219" s="49">
        <v>44652</v>
      </c>
      <c r="B219" s="39">
        <v>0</v>
      </c>
      <c r="C219" s="39">
        <v>0</v>
      </c>
      <c r="D219" s="39">
        <v>50915.4948</v>
      </c>
      <c r="E219" s="39">
        <v>58464.703543627467</v>
      </c>
      <c r="F219" s="39">
        <v>24406.395</v>
      </c>
      <c r="G219" s="39">
        <v>43611.020864362385</v>
      </c>
      <c r="H219" s="40">
        <v>0.14826937798171946</v>
      </c>
      <c r="I219" s="40">
        <v>0.78686859998628988</v>
      </c>
      <c r="J219" s="40">
        <v>0.35519335320752732</v>
      </c>
    </row>
    <row r="220" spans="1:10" ht="11.25" customHeight="1" x14ac:dyDescent="0.2">
      <c r="A220" s="49">
        <v>44682</v>
      </c>
      <c r="B220" s="39">
        <v>0</v>
      </c>
      <c r="C220" s="39">
        <v>0</v>
      </c>
      <c r="D220" s="39">
        <v>47879.953200000004</v>
      </c>
      <c r="E220" s="39">
        <v>54979.084078757842</v>
      </c>
      <c r="F220" s="39">
        <v>22951.305000000004</v>
      </c>
      <c r="G220" s="39">
        <v>41010.966233208332</v>
      </c>
      <c r="H220" s="40">
        <v>0.14826937798171946</v>
      </c>
      <c r="I220" s="40">
        <v>0.78686859998628944</v>
      </c>
      <c r="J220" s="40">
        <v>0.35519335320752732</v>
      </c>
    </row>
    <row r="221" spans="1:10" ht="11.25" customHeight="1" x14ac:dyDescent="0.2">
      <c r="A221" s="49">
        <v>44713</v>
      </c>
      <c r="B221" s="39">
        <v>0</v>
      </c>
      <c r="C221" s="39">
        <v>0</v>
      </c>
      <c r="D221" s="39">
        <v>39013.340400000008</v>
      </c>
      <c r="E221" s="39">
        <v>44797.824114097086</v>
      </c>
      <c r="F221" s="39">
        <v>18701.084999999999</v>
      </c>
      <c r="G221" s="39">
        <v>33416.381572174607</v>
      </c>
      <c r="H221" s="40">
        <v>0.14826937798171924</v>
      </c>
      <c r="I221" s="40">
        <v>0.78686859998629011</v>
      </c>
      <c r="J221" s="40">
        <v>0.3551933532075271</v>
      </c>
    </row>
    <row r="222" spans="1:10" ht="11.25" customHeight="1" x14ac:dyDescent="0.2">
      <c r="A222" s="49">
        <v>44743</v>
      </c>
      <c r="B222" s="39">
        <v>0</v>
      </c>
      <c r="C222" s="39">
        <v>0</v>
      </c>
      <c r="D222" s="39">
        <v>41141.718000000001</v>
      </c>
      <c r="E222" s="39">
        <v>47241.7749369593</v>
      </c>
      <c r="F222" s="39">
        <v>19721.325000000001</v>
      </c>
      <c r="G222" s="39">
        <v>35239.416392624618</v>
      </c>
      <c r="H222" s="40">
        <v>0.14826937798171924</v>
      </c>
      <c r="I222" s="40">
        <v>0.78686859998628988</v>
      </c>
      <c r="J222" s="40">
        <v>0.3551933532075271</v>
      </c>
    </row>
    <row r="223" spans="1:10" ht="11.25" customHeight="1" x14ac:dyDescent="0.2">
      <c r="A223" s="49">
        <v>44774</v>
      </c>
      <c r="B223" s="39">
        <v>0</v>
      </c>
      <c r="C223" s="39">
        <v>0</v>
      </c>
      <c r="D223" s="39">
        <v>42437.376000000004</v>
      </c>
      <c r="E223" s="39">
        <v>48729.539342696335</v>
      </c>
      <c r="F223" s="39">
        <v>20342.399999999998</v>
      </c>
      <c r="G223" s="39">
        <v>36349.195808361095</v>
      </c>
      <c r="H223" s="40">
        <v>0.14826937798171902</v>
      </c>
      <c r="I223" s="40">
        <v>0.78686859998628966</v>
      </c>
      <c r="J223" s="40">
        <v>0.35519335320752687</v>
      </c>
    </row>
    <row r="224" spans="1:10" ht="11.25" customHeight="1" x14ac:dyDescent="0.2">
      <c r="A224" s="42" t="s">
        <v>36</v>
      </c>
      <c r="B224" s="39">
        <v>0</v>
      </c>
      <c r="C224" s="39">
        <v>0</v>
      </c>
      <c r="D224" s="39">
        <v>287489.28172439995</v>
      </c>
      <c r="E224" s="39">
        <v>309045.78291495255</v>
      </c>
      <c r="F224" s="39">
        <v>137814.75075199999</v>
      </c>
      <c r="G224" s="39">
        <v>230528.87075173168</v>
      </c>
      <c r="H224" s="40">
        <v>7.4981929974062833E-2</v>
      </c>
      <c r="I224" s="40">
        <v>0.67274453201727535</v>
      </c>
      <c r="J224" s="40">
        <v>0.26867984421620816</v>
      </c>
    </row>
    <row r="225" spans="1:10" ht="11.25" customHeight="1" x14ac:dyDescent="0.2">
      <c r="A225" s="43" t="s">
        <v>23</v>
      </c>
      <c r="B225" s="39">
        <v>0</v>
      </c>
      <c r="C225" s="39">
        <v>0</v>
      </c>
      <c r="D225" s="39">
        <v>287489.28172439995</v>
      </c>
      <c r="E225" s="39">
        <v>309045.78291495255</v>
      </c>
      <c r="F225" s="39">
        <v>137814.75075199999</v>
      </c>
      <c r="G225" s="39">
        <v>230528.87075173168</v>
      </c>
      <c r="H225" s="40">
        <v>7.4981929974062833E-2</v>
      </c>
      <c r="I225" s="40">
        <v>0.67274453201727535</v>
      </c>
      <c r="J225" s="40">
        <v>0.26867984421620816</v>
      </c>
    </row>
    <row r="226" spans="1:10" ht="11.25" customHeight="1" x14ac:dyDescent="0.2">
      <c r="A226" s="44" t="s">
        <v>37</v>
      </c>
      <c r="B226" s="39">
        <v>0</v>
      </c>
      <c r="C226" s="39">
        <v>0</v>
      </c>
      <c r="D226" s="39">
        <v>95930.732669999983</v>
      </c>
      <c r="E226" s="39">
        <v>103123.80414942247</v>
      </c>
      <c r="F226" s="39">
        <v>45986.653599999998</v>
      </c>
      <c r="G226" s="39">
        <v>76923.923355172548</v>
      </c>
      <c r="H226" s="40">
        <v>7.4981929974062611E-2</v>
      </c>
      <c r="I226" s="40">
        <v>0.67274453201727535</v>
      </c>
      <c r="J226" s="40">
        <v>0.26867984421620794</v>
      </c>
    </row>
    <row r="227" spans="1:10" ht="11.25" customHeight="1" x14ac:dyDescent="0.2">
      <c r="A227" s="45" t="s">
        <v>25</v>
      </c>
      <c r="B227" s="39">
        <v>0</v>
      </c>
      <c r="C227" s="39">
        <v>0</v>
      </c>
      <c r="D227" s="39">
        <v>95930.732669999983</v>
      </c>
      <c r="E227" s="39">
        <v>103123.80414942247</v>
      </c>
      <c r="F227" s="39">
        <v>45986.653599999998</v>
      </c>
      <c r="G227" s="39">
        <v>76923.923355172548</v>
      </c>
      <c r="H227" s="40">
        <v>7.4981929974062611E-2</v>
      </c>
      <c r="I227" s="40">
        <v>0.67274453201727535</v>
      </c>
      <c r="J227" s="40">
        <v>0.26867984421620794</v>
      </c>
    </row>
    <row r="228" spans="1:10" ht="11.25" customHeight="1" x14ac:dyDescent="0.2">
      <c r="A228" s="46" t="s">
        <v>25</v>
      </c>
      <c r="B228" s="39">
        <v>0</v>
      </c>
      <c r="C228" s="39">
        <v>0</v>
      </c>
      <c r="D228" s="39">
        <v>95930.732669999983</v>
      </c>
      <c r="E228" s="39">
        <v>103123.80414942247</v>
      </c>
      <c r="F228" s="39">
        <v>45986.653599999998</v>
      </c>
      <c r="G228" s="39">
        <v>76923.923355172548</v>
      </c>
      <c r="H228" s="40">
        <v>7.4981929974062611E-2</v>
      </c>
      <c r="I228" s="40">
        <v>0.67274453201727535</v>
      </c>
      <c r="J228" s="40">
        <v>0.26867984421620794</v>
      </c>
    </row>
    <row r="229" spans="1:10" ht="11.25" customHeight="1" x14ac:dyDescent="0.2">
      <c r="A229" s="47" t="s">
        <v>25</v>
      </c>
      <c r="B229" s="39">
        <v>0</v>
      </c>
      <c r="C229" s="39">
        <v>0</v>
      </c>
      <c r="D229" s="39">
        <v>95930.732669999983</v>
      </c>
      <c r="E229" s="39">
        <v>103123.80414942247</v>
      </c>
      <c r="F229" s="39">
        <v>45986.653599999998</v>
      </c>
      <c r="G229" s="39">
        <v>76923.923355172548</v>
      </c>
      <c r="H229" s="40">
        <v>7.4981929974062611E-2</v>
      </c>
      <c r="I229" s="40">
        <v>0.67274453201727535</v>
      </c>
      <c r="J229" s="40">
        <v>0.26867984421620794</v>
      </c>
    </row>
    <row r="230" spans="1:10" ht="11.25" customHeight="1" x14ac:dyDescent="0.2">
      <c r="A230" s="48" t="s">
        <v>25</v>
      </c>
      <c r="B230" s="39">
        <v>0</v>
      </c>
      <c r="C230" s="39">
        <v>0</v>
      </c>
      <c r="D230" s="39">
        <v>95930.732669999983</v>
      </c>
      <c r="E230" s="39">
        <v>103123.80414942247</v>
      </c>
      <c r="F230" s="39">
        <v>45986.653599999998</v>
      </c>
      <c r="G230" s="39">
        <v>76923.923355172548</v>
      </c>
      <c r="H230" s="40">
        <v>7.4981929974062611E-2</v>
      </c>
      <c r="I230" s="40">
        <v>0.67274453201727535</v>
      </c>
      <c r="J230" s="40">
        <v>0.26867984421620794</v>
      </c>
    </row>
    <row r="231" spans="1:10" ht="11.25" customHeight="1" x14ac:dyDescent="0.2">
      <c r="A231" s="49">
        <v>44440</v>
      </c>
      <c r="B231" s="39">
        <v>0</v>
      </c>
      <c r="C231" s="39">
        <v>0</v>
      </c>
      <c r="D231" s="39">
        <v>8030.5544399999999</v>
      </c>
      <c r="E231" s="39">
        <v>8632.7009106729802</v>
      </c>
      <c r="F231" s="39">
        <v>3849.6351999999997</v>
      </c>
      <c r="G231" s="39">
        <v>6439.4562310612309</v>
      </c>
      <c r="H231" s="40">
        <v>7.4981929974063055E-2</v>
      </c>
      <c r="I231" s="40">
        <v>0.67274453201727558</v>
      </c>
      <c r="J231" s="40">
        <v>0.26867984421620816</v>
      </c>
    </row>
    <row r="232" spans="1:10" ht="11.25" customHeight="1" x14ac:dyDescent="0.2">
      <c r="A232" s="49">
        <v>44470</v>
      </c>
      <c r="B232" s="39">
        <v>0</v>
      </c>
      <c r="C232" s="39">
        <v>0</v>
      </c>
      <c r="D232" s="39">
        <v>7370.4328800000003</v>
      </c>
      <c r="E232" s="39">
        <v>7923.0821620866909</v>
      </c>
      <c r="F232" s="39">
        <v>3533.1904</v>
      </c>
      <c r="G232" s="39">
        <v>5910.1249221759308</v>
      </c>
      <c r="H232" s="40">
        <v>7.4981929974062833E-2</v>
      </c>
      <c r="I232" s="40">
        <v>0.67274453201727558</v>
      </c>
      <c r="J232" s="40">
        <v>0.26867984421620839</v>
      </c>
    </row>
    <row r="233" spans="1:10" ht="11.25" customHeight="1" x14ac:dyDescent="0.2">
      <c r="A233" s="49">
        <v>44501</v>
      </c>
      <c r="B233" s="39">
        <v>0</v>
      </c>
      <c r="C233" s="39">
        <v>0</v>
      </c>
      <c r="D233" s="39">
        <v>7006.6263899999994</v>
      </c>
      <c r="E233" s="39">
        <v>7531.9967593294004</v>
      </c>
      <c r="F233" s="39">
        <v>3358.7912000000001</v>
      </c>
      <c r="G233" s="39">
        <v>5618.3996139877427</v>
      </c>
      <c r="H233" s="40">
        <v>7.4981929974062833E-2</v>
      </c>
      <c r="I233" s="40">
        <v>0.67274453201727535</v>
      </c>
      <c r="J233" s="40">
        <v>0.26867984421620839</v>
      </c>
    </row>
    <row r="234" spans="1:10" ht="11.25" customHeight="1" x14ac:dyDescent="0.2">
      <c r="A234" s="49">
        <v>44531</v>
      </c>
      <c r="B234" s="39">
        <v>0</v>
      </c>
      <c r="C234" s="39">
        <v>0</v>
      </c>
      <c r="D234" s="39">
        <v>7574.2939500000002</v>
      </c>
      <c r="E234" s="39">
        <v>8142.2291285618685</v>
      </c>
      <c r="F234" s="39">
        <v>3630.9160000000002</v>
      </c>
      <c r="G234" s="39">
        <v>6073.5948852140382</v>
      </c>
      <c r="H234" s="40">
        <v>7.4981929974062833E-2</v>
      </c>
      <c r="I234" s="40">
        <v>0.67274453201727558</v>
      </c>
      <c r="J234" s="40">
        <v>0.26867984421620816</v>
      </c>
    </row>
    <row r="235" spans="1:10" ht="11.25" customHeight="1" x14ac:dyDescent="0.2">
      <c r="A235" s="49">
        <v>44562</v>
      </c>
      <c r="B235" s="39">
        <v>0</v>
      </c>
      <c r="C235" s="39">
        <v>0</v>
      </c>
      <c r="D235" s="39">
        <v>9113.653049999999</v>
      </c>
      <c r="E235" s="39">
        <v>9797.0123448030045</v>
      </c>
      <c r="F235" s="39">
        <v>4368.8440000000001</v>
      </c>
      <c r="G235" s="39">
        <v>7307.9599122364816</v>
      </c>
      <c r="H235" s="40">
        <v>7.4981929974063055E-2</v>
      </c>
      <c r="I235" s="40">
        <v>0.67274453201727535</v>
      </c>
      <c r="J235" s="40">
        <v>0.26867984421620839</v>
      </c>
    </row>
    <row r="236" spans="1:10" ht="11.25" customHeight="1" x14ac:dyDescent="0.2">
      <c r="A236" s="49">
        <v>44593</v>
      </c>
      <c r="B236" s="39">
        <v>0</v>
      </c>
      <c r="C236" s="39">
        <v>0</v>
      </c>
      <c r="D236" s="39">
        <v>7649.6439599999985</v>
      </c>
      <c r="E236" s="39">
        <v>8223.2290277352313</v>
      </c>
      <c r="F236" s="39">
        <v>3667.0367999999994</v>
      </c>
      <c r="G236" s="39">
        <v>6134.0157559061272</v>
      </c>
      <c r="H236" s="40">
        <v>7.4981929974062833E-2</v>
      </c>
      <c r="I236" s="40">
        <v>0.6727445320172758</v>
      </c>
      <c r="J236" s="40">
        <v>0.26867984421620839</v>
      </c>
    </row>
    <row r="237" spans="1:10" ht="11.25" customHeight="1" x14ac:dyDescent="0.2">
      <c r="A237" s="49">
        <v>44621</v>
      </c>
      <c r="B237" s="39">
        <v>0</v>
      </c>
      <c r="C237" s="39">
        <v>0</v>
      </c>
      <c r="D237" s="39">
        <v>9143.2383300000001</v>
      </c>
      <c r="E237" s="39">
        <v>9828.8159861962267</v>
      </c>
      <c r="F237" s="39">
        <v>4383.0263999999997</v>
      </c>
      <c r="G237" s="39">
        <v>7331.6834442873633</v>
      </c>
      <c r="H237" s="40">
        <v>7.4981929974062833E-2</v>
      </c>
      <c r="I237" s="40">
        <v>0.67274453201727558</v>
      </c>
      <c r="J237" s="40">
        <v>0.26867984421620816</v>
      </c>
    </row>
    <row r="238" spans="1:10" ht="11.25" customHeight="1" x14ac:dyDescent="0.2">
      <c r="A238" s="49">
        <v>44652</v>
      </c>
      <c r="B238" s="39">
        <v>0</v>
      </c>
      <c r="C238" s="39">
        <v>0</v>
      </c>
      <c r="D238" s="39">
        <v>7835.4764999999998</v>
      </c>
      <c r="E238" s="39">
        <v>8422.9956502364148</v>
      </c>
      <c r="F238" s="39">
        <v>3756.12</v>
      </c>
      <c r="G238" s="39">
        <v>6283.0291916007282</v>
      </c>
      <c r="H238" s="40">
        <v>7.4981929974062833E-2</v>
      </c>
      <c r="I238" s="40">
        <v>0.67274453201727535</v>
      </c>
      <c r="J238" s="40">
        <v>0.26867984421620816</v>
      </c>
    </row>
    <row r="239" spans="1:10" ht="11.25" customHeight="1" x14ac:dyDescent="0.2">
      <c r="A239" s="49">
        <v>44682</v>
      </c>
      <c r="B239" s="39">
        <v>0</v>
      </c>
      <c r="C239" s="39">
        <v>0</v>
      </c>
      <c r="D239" s="39">
        <v>8818.2625200000002</v>
      </c>
      <c r="E239" s="39">
        <v>9479.4728627675431</v>
      </c>
      <c r="F239" s="39">
        <v>4227.2416000000003</v>
      </c>
      <c r="G239" s="39">
        <v>7071.0952719159586</v>
      </c>
      <c r="H239" s="40">
        <v>7.4981929974062833E-2</v>
      </c>
      <c r="I239" s="40">
        <v>0.67274453201727535</v>
      </c>
      <c r="J239" s="40">
        <v>0.26867984421620794</v>
      </c>
    </row>
    <row r="240" spans="1:10" ht="11.25" customHeight="1" x14ac:dyDescent="0.2">
      <c r="A240" s="49">
        <v>44713</v>
      </c>
      <c r="B240" s="39">
        <v>0</v>
      </c>
      <c r="C240" s="39">
        <v>0</v>
      </c>
      <c r="D240" s="39">
        <v>7667.6724899999999</v>
      </c>
      <c r="E240" s="39">
        <v>8242.6093717092299</v>
      </c>
      <c r="F240" s="39">
        <v>3675.6792</v>
      </c>
      <c r="G240" s="39">
        <v>6148.4722832496336</v>
      </c>
      <c r="H240" s="40">
        <v>7.4981929974063055E-2</v>
      </c>
      <c r="I240" s="40">
        <v>0.67274453201727558</v>
      </c>
      <c r="J240" s="40">
        <v>0.26867984421620839</v>
      </c>
    </row>
    <row r="241" spans="1:10" ht="11.25" customHeight="1" x14ac:dyDescent="0.2">
      <c r="A241" s="49">
        <v>44743</v>
      </c>
      <c r="B241" s="39">
        <v>0</v>
      </c>
      <c r="C241" s="39">
        <v>0</v>
      </c>
      <c r="D241" s="39">
        <v>7678.3046999999997</v>
      </c>
      <c r="E241" s="39">
        <v>8254.0388053349179</v>
      </c>
      <c r="F241" s="39">
        <v>3680.7759999999998</v>
      </c>
      <c r="G241" s="39">
        <v>6156.9979275804189</v>
      </c>
      <c r="H241" s="40">
        <v>7.4981929974062833E-2</v>
      </c>
      <c r="I241" s="40">
        <v>0.67274453201727558</v>
      </c>
      <c r="J241" s="40">
        <v>0.26867984421620839</v>
      </c>
    </row>
    <row r="242" spans="1:10" ht="11.25" customHeight="1" x14ac:dyDescent="0.2">
      <c r="A242" s="49">
        <v>44774</v>
      </c>
      <c r="B242" s="39">
        <v>0</v>
      </c>
      <c r="C242" s="39">
        <v>0</v>
      </c>
      <c r="D242" s="39">
        <v>8042.5734599999996</v>
      </c>
      <c r="E242" s="39">
        <v>8645.6211399889762</v>
      </c>
      <c r="F242" s="39">
        <v>3855.3968</v>
      </c>
      <c r="G242" s="39">
        <v>6449.0939159569016</v>
      </c>
      <c r="H242" s="40">
        <v>7.4981929974062833E-2</v>
      </c>
      <c r="I242" s="40">
        <v>0.67274453201727558</v>
      </c>
      <c r="J242" s="40">
        <v>0.26867984421620816</v>
      </c>
    </row>
    <row r="243" spans="1:10" ht="11.25" customHeight="1" x14ac:dyDescent="0.2">
      <c r="A243" s="44" t="s">
        <v>43</v>
      </c>
      <c r="B243" s="39">
        <v>0</v>
      </c>
      <c r="C243" s="39">
        <v>0</v>
      </c>
      <c r="D243" s="39">
        <v>35500.949189999992</v>
      </c>
      <c r="E243" s="39">
        <v>38162.878876177347</v>
      </c>
      <c r="F243" s="39">
        <v>17018.215199999999</v>
      </c>
      <c r="G243" s="39">
        <v>28467.126420493289</v>
      </c>
      <c r="H243" s="40">
        <v>7.4981929974063277E-2</v>
      </c>
      <c r="I243" s="40">
        <v>0.6727445320172758</v>
      </c>
      <c r="J243" s="40">
        <v>0.26867984421620839</v>
      </c>
    </row>
    <row r="244" spans="1:10" ht="11.25" customHeight="1" x14ac:dyDescent="0.2">
      <c r="A244" s="45" t="s">
        <v>25</v>
      </c>
      <c r="B244" s="39">
        <v>0</v>
      </c>
      <c r="C244" s="39">
        <v>0</v>
      </c>
      <c r="D244" s="39">
        <v>35500.949189999992</v>
      </c>
      <c r="E244" s="39">
        <v>38162.878876177347</v>
      </c>
      <c r="F244" s="39">
        <v>17018.215199999999</v>
      </c>
      <c r="G244" s="39">
        <v>28467.126420493289</v>
      </c>
      <c r="H244" s="40">
        <v>7.4981929974063277E-2</v>
      </c>
      <c r="I244" s="40">
        <v>0.6727445320172758</v>
      </c>
      <c r="J244" s="40">
        <v>0.26867984421620839</v>
      </c>
    </row>
    <row r="245" spans="1:10" ht="11.25" customHeight="1" x14ac:dyDescent="0.2">
      <c r="A245" s="46" t="s">
        <v>25</v>
      </c>
      <c r="B245" s="39">
        <v>0</v>
      </c>
      <c r="C245" s="39">
        <v>0</v>
      </c>
      <c r="D245" s="39">
        <v>35500.949189999992</v>
      </c>
      <c r="E245" s="39">
        <v>38162.878876177347</v>
      </c>
      <c r="F245" s="39">
        <v>17018.215199999999</v>
      </c>
      <c r="G245" s="39">
        <v>28467.126420493289</v>
      </c>
      <c r="H245" s="40">
        <v>7.4981929974063277E-2</v>
      </c>
      <c r="I245" s="40">
        <v>0.6727445320172758</v>
      </c>
      <c r="J245" s="40">
        <v>0.26867984421620839</v>
      </c>
    </row>
    <row r="246" spans="1:10" ht="11.25" customHeight="1" x14ac:dyDescent="0.2">
      <c r="A246" s="47" t="s">
        <v>25</v>
      </c>
      <c r="B246" s="39">
        <v>0</v>
      </c>
      <c r="C246" s="39">
        <v>0</v>
      </c>
      <c r="D246" s="39">
        <v>35500.949189999992</v>
      </c>
      <c r="E246" s="39">
        <v>38162.878876177347</v>
      </c>
      <c r="F246" s="39">
        <v>17018.215199999999</v>
      </c>
      <c r="G246" s="39">
        <v>28467.126420493289</v>
      </c>
      <c r="H246" s="40">
        <v>7.4981929974063277E-2</v>
      </c>
      <c r="I246" s="40">
        <v>0.6727445320172758</v>
      </c>
      <c r="J246" s="40">
        <v>0.26867984421620839</v>
      </c>
    </row>
    <row r="247" spans="1:10" ht="11.25" customHeight="1" x14ac:dyDescent="0.2">
      <c r="A247" s="48" t="s">
        <v>25</v>
      </c>
      <c r="B247" s="39">
        <v>0</v>
      </c>
      <c r="C247" s="39">
        <v>0</v>
      </c>
      <c r="D247" s="39">
        <v>35500.949189999992</v>
      </c>
      <c r="E247" s="39">
        <v>38162.878876177347</v>
      </c>
      <c r="F247" s="39">
        <v>17018.215199999999</v>
      </c>
      <c r="G247" s="39">
        <v>28467.126420493289</v>
      </c>
      <c r="H247" s="40">
        <v>7.4981929974063277E-2</v>
      </c>
      <c r="I247" s="40">
        <v>0.6727445320172758</v>
      </c>
      <c r="J247" s="40">
        <v>0.26867984421620839</v>
      </c>
    </row>
    <row r="248" spans="1:10" ht="11.25" customHeight="1" x14ac:dyDescent="0.2">
      <c r="A248" s="49">
        <v>44440</v>
      </c>
      <c r="B248" s="39">
        <v>0</v>
      </c>
      <c r="C248" s="39">
        <v>0</v>
      </c>
      <c r="D248" s="39">
        <v>3103.6807800000001</v>
      </c>
      <c r="E248" s="39">
        <v>3336.4007549078051</v>
      </c>
      <c r="F248" s="39">
        <v>1487.8224</v>
      </c>
      <c r="G248" s="39">
        <v>2488.7467842128199</v>
      </c>
      <c r="H248" s="40">
        <v>7.4981929974062833E-2</v>
      </c>
      <c r="I248" s="40">
        <v>0.67274453201727558</v>
      </c>
      <c r="J248" s="40">
        <v>0.26867984421620839</v>
      </c>
    </row>
    <row r="249" spans="1:10" ht="11.25" customHeight="1" x14ac:dyDescent="0.2">
      <c r="A249" s="49">
        <v>44470</v>
      </c>
      <c r="B249" s="39">
        <v>0</v>
      </c>
      <c r="C249" s="39">
        <v>0</v>
      </c>
      <c r="D249" s="39">
        <v>2836.0264499999998</v>
      </c>
      <c r="E249" s="39">
        <v>3048.6771866784898</v>
      </c>
      <c r="F249" s="39">
        <v>1359.5159999999998</v>
      </c>
      <c r="G249" s="39">
        <v>2274.1229551899983</v>
      </c>
      <c r="H249" s="40">
        <v>7.4981929974062833E-2</v>
      </c>
      <c r="I249" s="40">
        <v>0.67274453201727558</v>
      </c>
      <c r="J249" s="40">
        <v>0.26867984421620816</v>
      </c>
    </row>
    <row r="250" spans="1:10" ht="11.25" customHeight="1" x14ac:dyDescent="0.2">
      <c r="A250" s="49">
        <v>44501</v>
      </c>
      <c r="B250" s="39">
        <v>0</v>
      </c>
      <c r="C250" s="39">
        <v>0</v>
      </c>
      <c r="D250" s="39">
        <v>2672.3828699999999</v>
      </c>
      <c r="E250" s="39">
        <v>2872.7632952222248</v>
      </c>
      <c r="F250" s="39">
        <v>1281.0695999999998</v>
      </c>
      <c r="G250" s="39">
        <v>2142.9021685335583</v>
      </c>
      <c r="H250" s="40">
        <v>7.4981929974062833E-2</v>
      </c>
      <c r="I250" s="40">
        <v>0.6727445320172758</v>
      </c>
      <c r="J250" s="40">
        <v>0.26867984421620816</v>
      </c>
    </row>
    <row r="251" spans="1:10" ht="11.25" customHeight="1" x14ac:dyDescent="0.2">
      <c r="A251" s="49">
        <v>44531</v>
      </c>
      <c r="B251" s="39">
        <v>0</v>
      </c>
      <c r="C251" s="39">
        <v>0</v>
      </c>
      <c r="D251" s="39">
        <v>2979.7924199999998</v>
      </c>
      <c r="E251" s="39">
        <v>3203.2230065736831</v>
      </c>
      <c r="F251" s="39">
        <v>1428.4335999999998</v>
      </c>
      <c r="G251" s="39">
        <v>2389.404493749752</v>
      </c>
      <c r="H251" s="40">
        <v>7.4981929974062833E-2</v>
      </c>
      <c r="I251" s="40">
        <v>0.67274453201727558</v>
      </c>
      <c r="J251" s="40">
        <v>0.26867984421620816</v>
      </c>
    </row>
    <row r="252" spans="1:10" ht="11.25" customHeight="1" x14ac:dyDescent="0.2">
      <c r="A252" s="49">
        <v>44562</v>
      </c>
      <c r="B252" s="39">
        <v>0</v>
      </c>
      <c r="C252" s="39">
        <v>0</v>
      </c>
      <c r="D252" s="39">
        <v>2946.0467100000001</v>
      </c>
      <c r="E252" s="39">
        <v>3166.9469781095386</v>
      </c>
      <c r="F252" s="39">
        <v>1412.2568000000001</v>
      </c>
      <c r="G252" s="39">
        <v>2362.3448400042153</v>
      </c>
      <c r="H252" s="40">
        <v>7.4981929974062833E-2</v>
      </c>
      <c r="I252" s="40">
        <v>0.67274453201727558</v>
      </c>
      <c r="J252" s="40">
        <v>0.26867984421620839</v>
      </c>
    </row>
    <row r="253" spans="1:10" ht="11.25" customHeight="1" x14ac:dyDescent="0.2">
      <c r="A253" s="49">
        <v>44593</v>
      </c>
      <c r="B253" s="39">
        <v>0</v>
      </c>
      <c r="C253" s="39">
        <v>0</v>
      </c>
      <c r="D253" s="39">
        <v>3210.46515</v>
      </c>
      <c r="E253" s="39">
        <v>3451.1920230614692</v>
      </c>
      <c r="F253" s="39">
        <v>1539.0119999999999</v>
      </c>
      <c r="G253" s="39">
        <v>2574.3739077089713</v>
      </c>
      <c r="H253" s="40">
        <v>7.4981929974062833E-2</v>
      </c>
      <c r="I253" s="40">
        <v>0.67274453201727558</v>
      </c>
      <c r="J253" s="40">
        <v>0.26867984421620839</v>
      </c>
    </row>
    <row r="254" spans="1:10" ht="11.25" customHeight="1" x14ac:dyDescent="0.2">
      <c r="A254" s="49">
        <v>44621</v>
      </c>
      <c r="B254" s="39">
        <v>0</v>
      </c>
      <c r="C254" s="39">
        <v>0</v>
      </c>
      <c r="D254" s="39">
        <v>3535.4409599999999</v>
      </c>
      <c r="E254" s="39">
        <v>3800.5351464901532</v>
      </c>
      <c r="F254" s="39">
        <v>1694.7967999999998</v>
      </c>
      <c r="G254" s="39">
        <v>2834.9620800803759</v>
      </c>
      <c r="H254" s="40">
        <v>7.4981929974062833E-2</v>
      </c>
      <c r="I254" s="40">
        <v>0.67274453201727558</v>
      </c>
      <c r="J254" s="40">
        <v>0.26867984421620816</v>
      </c>
    </row>
    <row r="255" spans="1:10" ht="11.25" customHeight="1" x14ac:dyDescent="0.2">
      <c r="A255" s="49">
        <v>44652</v>
      </c>
      <c r="B255" s="39">
        <v>0</v>
      </c>
      <c r="C255" s="39">
        <v>0</v>
      </c>
      <c r="D255" s="39">
        <v>3019.0853699999998</v>
      </c>
      <c r="E255" s="39">
        <v>3245.4622177990577</v>
      </c>
      <c r="F255" s="39">
        <v>1447.2695999999999</v>
      </c>
      <c r="G255" s="39">
        <v>2420.9123097548295</v>
      </c>
      <c r="H255" s="40">
        <v>7.4981929974063055E-2</v>
      </c>
      <c r="I255" s="40">
        <v>0.67274453201727558</v>
      </c>
      <c r="J255" s="40">
        <v>0.26867984421620839</v>
      </c>
    </row>
    <row r="256" spans="1:10" ht="11.25" customHeight="1" x14ac:dyDescent="0.2">
      <c r="A256" s="49">
        <v>44682</v>
      </c>
      <c r="B256" s="39">
        <v>0</v>
      </c>
      <c r="C256" s="39">
        <v>0</v>
      </c>
      <c r="D256" s="39">
        <v>3240.5126999999998</v>
      </c>
      <c r="E256" s="39">
        <v>3483.4925963514611</v>
      </c>
      <c r="F256" s="39">
        <v>1553.4159999999999</v>
      </c>
      <c r="G256" s="39">
        <v>2598.4681199481479</v>
      </c>
      <c r="H256" s="40">
        <v>7.4981929974062833E-2</v>
      </c>
      <c r="I256" s="40">
        <v>0.67274453201727558</v>
      </c>
      <c r="J256" s="40">
        <v>0.26867984421620816</v>
      </c>
    </row>
    <row r="257" spans="1:10" ht="11.25" customHeight="1" x14ac:dyDescent="0.2">
      <c r="A257" s="49">
        <v>44713</v>
      </c>
      <c r="B257" s="39">
        <v>0</v>
      </c>
      <c r="C257" s="39">
        <v>0</v>
      </c>
      <c r="D257" s="39">
        <v>2526.76782</v>
      </c>
      <c r="E257" s="39">
        <v>2716.2297477399557</v>
      </c>
      <c r="F257" s="39">
        <v>1211.2655999999999</v>
      </c>
      <c r="G257" s="39">
        <v>2026.1379092206244</v>
      </c>
      <c r="H257" s="40">
        <v>7.4981929974062833E-2</v>
      </c>
      <c r="I257" s="40">
        <v>0.67274453201727558</v>
      </c>
      <c r="J257" s="40">
        <v>0.26867984421620816</v>
      </c>
    </row>
    <row r="258" spans="1:10" ht="11.25" customHeight="1" x14ac:dyDescent="0.2">
      <c r="A258" s="49">
        <v>44743</v>
      </c>
      <c r="B258" s="39">
        <v>0</v>
      </c>
      <c r="C258" s="39">
        <v>0</v>
      </c>
      <c r="D258" s="39">
        <v>2728.31754</v>
      </c>
      <c r="E258" s="39">
        <v>2932.8920547312873</v>
      </c>
      <c r="F258" s="39">
        <v>1307.8832</v>
      </c>
      <c r="G258" s="39">
        <v>2187.754471317257</v>
      </c>
      <c r="H258" s="40">
        <v>7.4981929974062833E-2</v>
      </c>
      <c r="I258" s="40">
        <v>0.67274453201727558</v>
      </c>
      <c r="J258" s="40">
        <v>0.26867984421620794</v>
      </c>
    </row>
    <row r="259" spans="1:10" ht="11.25" customHeight="1" x14ac:dyDescent="0.2">
      <c r="A259" s="49">
        <v>44774</v>
      </c>
      <c r="B259" s="39">
        <v>0</v>
      </c>
      <c r="C259" s="39">
        <v>0</v>
      </c>
      <c r="D259" s="39">
        <v>2702.4304200000001</v>
      </c>
      <c r="E259" s="39">
        <v>2905.0638685122171</v>
      </c>
      <c r="F259" s="39">
        <v>1295.4736</v>
      </c>
      <c r="G259" s="39">
        <v>2166.9963807727349</v>
      </c>
      <c r="H259" s="40">
        <v>7.4981929974062833E-2</v>
      </c>
      <c r="I259" s="40">
        <v>0.67274453201727535</v>
      </c>
      <c r="J259" s="40">
        <v>0.26867984421620816</v>
      </c>
    </row>
    <row r="260" spans="1:10" ht="11.25" customHeight="1" x14ac:dyDescent="0.2">
      <c r="A260" s="44" t="s">
        <v>47</v>
      </c>
      <c r="B260" s="39">
        <v>0</v>
      </c>
      <c r="C260" s="39">
        <v>0</v>
      </c>
      <c r="D260" s="39">
        <v>156057.59986440002</v>
      </c>
      <c r="E260" s="39">
        <v>167759.09988935277</v>
      </c>
      <c r="F260" s="39">
        <v>74809.881951999996</v>
      </c>
      <c r="G260" s="39">
        <v>125137.82097606585</v>
      </c>
      <c r="H260" s="40">
        <v>7.4981929974062833E-2</v>
      </c>
      <c r="I260" s="40">
        <v>0.67274453201727535</v>
      </c>
      <c r="J260" s="40">
        <v>0.26867984421620816</v>
      </c>
    </row>
    <row r="261" spans="1:10" ht="11.25" customHeight="1" x14ac:dyDescent="0.2">
      <c r="A261" s="45" t="s">
        <v>48</v>
      </c>
      <c r="B261" s="39">
        <v>0</v>
      </c>
      <c r="C261" s="39">
        <v>0</v>
      </c>
      <c r="D261" s="39">
        <v>156057.59986440002</v>
      </c>
      <c r="E261" s="39">
        <v>167759.09988935277</v>
      </c>
      <c r="F261" s="39">
        <v>74809.881951999996</v>
      </c>
      <c r="G261" s="39">
        <v>125137.82097606585</v>
      </c>
      <c r="H261" s="40">
        <v>7.4981929974062833E-2</v>
      </c>
      <c r="I261" s="40">
        <v>0.67274453201727535</v>
      </c>
      <c r="J261" s="40">
        <v>0.26867984421620816</v>
      </c>
    </row>
    <row r="262" spans="1:10" ht="11.25" customHeight="1" x14ac:dyDescent="0.2">
      <c r="A262" s="46" t="s">
        <v>25</v>
      </c>
      <c r="B262" s="39">
        <v>0</v>
      </c>
      <c r="C262" s="39">
        <v>0</v>
      </c>
      <c r="D262" s="39">
        <v>156057.59986440002</v>
      </c>
      <c r="E262" s="39">
        <v>167759.09988935277</v>
      </c>
      <c r="F262" s="39">
        <v>74809.881951999996</v>
      </c>
      <c r="G262" s="39">
        <v>125137.82097606585</v>
      </c>
      <c r="H262" s="40">
        <v>7.4981929974062833E-2</v>
      </c>
      <c r="I262" s="40">
        <v>0.67274453201727535</v>
      </c>
      <c r="J262" s="40">
        <v>0.26867984421620816</v>
      </c>
    </row>
    <row r="263" spans="1:10" ht="11.25" customHeight="1" x14ac:dyDescent="0.2">
      <c r="A263" s="47" t="s">
        <v>25</v>
      </c>
      <c r="B263" s="39">
        <v>0</v>
      </c>
      <c r="C263" s="39">
        <v>0</v>
      </c>
      <c r="D263" s="39">
        <v>156057.59986440002</v>
      </c>
      <c r="E263" s="39">
        <v>167759.09988935277</v>
      </c>
      <c r="F263" s="39">
        <v>74809.881951999996</v>
      </c>
      <c r="G263" s="39">
        <v>125137.82097606585</v>
      </c>
      <c r="H263" s="40">
        <v>7.4981929974062833E-2</v>
      </c>
      <c r="I263" s="40">
        <v>0.67274453201727535</v>
      </c>
      <c r="J263" s="40">
        <v>0.26867984421620816</v>
      </c>
    </row>
    <row r="264" spans="1:10" ht="11.25" customHeight="1" x14ac:dyDescent="0.2">
      <c r="A264" s="48" t="s">
        <v>25</v>
      </c>
      <c r="B264" s="39">
        <v>0</v>
      </c>
      <c r="C264" s="39">
        <v>0</v>
      </c>
      <c r="D264" s="39">
        <v>156057.59986440002</v>
      </c>
      <c r="E264" s="39">
        <v>167759.09988935277</v>
      </c>
      <c r="F264" s="39">
        <v>74809.881951999996</v>
      </c>
      <c r="G264" s="39">
        <v>125137.82097606585</v>
      </c>
      <c r="H264" s="40">
        <v>7.4981929974062833E-2</v>
      </c>
      <c r="I264" s="40">
        <v>0.67274453201727535</v>
      </c>
      <c r="J264" s="40">
        <v>0.26867984421620816</v>
      </c>
    </row>
    <row r="265" spans="1:10" ht="11.25" customHeight="1" x14ac:dyDescent="0.2">
      <c r="A265" s="49">
        <v>44440</v>
      </c>
      <c r="B265" s="39">
        <v>0</v>
      </c>
      <c r="C265" s="39">
        <v>0</v>
      </c>
      <c r="D265" s="39">
        <v>10971.1093824</v>
      </c>
      <c r="E265" s="39">
        <v>11793.744337848901</v>
      </c>
      <c r="F265" s="39">
        <v>5259.2593919999999</v>
      </c>
      <c r="G265" s="39">
        <v>8797.3973904285012</v>
      </c>
      <c r="H265" s="40">
        <v>7.4981929974062833E-2</v>
      </c>
      <c r="I265" s="40">
        <v>0.67274453201727558</v>
      </c>
      <c r="J265" s="40">
        <v>0.26867984421620816</v>
      </c>
    </row>
    <row r="266" spans="1:10" ht="11.25" customHeight="1" x14ac:dyDescent="0.2">
      <c r="A266" s="49">
        <v>44470</v>
      </c>
      <c r="B266" s="39">
        <v>0</v>
      </c>
      <c r="C266" s="39">
        <v>0</v>
      </c>
      <c r="D266" s="39">
        <v>12254.722227599999</v>
      </c>
      <c r="E266" s="39">
        <v>13173.604951521495</v>
      </c>
      <c r="F266" s="39">
        <v>5874.5894079999998</v>
      </c>
      <c r="G266" s="39">
        <v>9826.6873100786033</v>
      </c>
      <c r="H266" s="40">
        <v>7.4981929974062833E-2</v>
      </c>
      <c r="I266" s="40">
        <v>0.67274453201727558</v>
      </c>
      <c r="J266" s="40">
        <v>0.26867984421620816</v>
      </c>
    </row>
    <row r="267" spans="1:10" ht="11.25" customHeight="1" x14ac:dyDescent="0.2">
      <c r="A267" s="49">
        <v>44501</v>
      </c>
      <c r="B267" s="39">
        <v>0</v>
      </c>
      <c r="C267" s="39">
        <v>0</v>
      </c>
      <c r="D267" s="39">
        <v>11699.822565</v>
      </c>
      <c r="E267" s="39">
        <v>12577.097841277791</v>
      </c>
      <c r="F267" s="39">
        <v>5608.5851999999995</v>
      </c>
      <c r="G267" s="39">
        <v>9381.7302256530165</v>
      </c>
      <c r="H267" s="40">
        <v>7.4981929974062833E-2</v>
      </c>
      <c r="I267" s="40">
        <v>0.67274453201727535</v>
      </c>
      <c r="J267" s="40">
        <v>0.26867984421620816</v>
      </c>
    </row>
    <row r="268" spans="1:10" ht="11.25" customHeight="1" x14ac:dyDescent="0.2">
      <c r="A268" s="49">
        <v>44531</v>
      </c>
      <c r="B268" s="39">
        <v>0</v>
      </c>
      <c r="C268" s="39">
        <v>0</v>
      </c>
      <c r="D268" s="39">
        <v>11964.019115399999</v>
      </c>
      <c r="E268" s="39">
        <v>12861.104358919272</v>
      </c>
      <c r="F268" s="39">
        <v>5735.2340319999994</v>
      </c>
      <c r="G268" s="39">
        <v>9593.5813668673909</v>
      </c>
      <c r="H268" s="40">
        <v>7.4981929974063055E-2</v>
      </c>
      <c r="I268" s="40">
        <v>0.67274453201727558</v>
      </c>
      <c r="J268" s="40">
        <v>0.26867984421620839</v>
      </c>
    </row>
    <row r="269" spans="1:10" ht="11.25" customHeight="1" x14ac:dyDescent="0.2">
      <c r="A269" s="49">
        <v>44562</v>
      </c>
      <c r="B269" s="39">
        <v>0</v>
      </c>
      <c r="C269" s="39">
        <v>0</v>
      </c>
      <c r="D269" s="39">
        <v>16497.510250799998</v>
      </c>
      <c r="E269" s="39">
        <v>17734.525409171871</v>
      </c>
      <c r="F269" s="39">
        <v>7908.4696640000002</v>
      </c>
      <c r="G269" s="39">
        <v>13228.8493870805</v>
      </c>
      <c r="H269" s="40">
        <v>7.4981929974063055E-2</v>
      </c>
      <c r="I269" s="40">
        <v>0.67274453201727535</v>
      </c>
      <c r="J269" s="40">
        <v>0.26867984421620839</v>
      </c>
    </row>
    <row r="270" spans="1:10" ht="11.25" customHeight="1" x14ac:dyDescent="0.2">
      <c r="A270" s="49">
        <v>44593</v>
      </c>
      <c r="B270" s="39">
        <v>0</v>
      </c>
      <c r="C270" s="39">
        <v>0</v>
      </c>
      <c r="D270" s="39">
        <v>13124.6588952</v>
      </c>
      <c r="E270" s="39">
        <v>14108.771149413349</v>
      </c>
      <c r="F270" s="39">
        <v>6291.6140160000004</v>
      </c>
      <c r="G270" s="39">
        <v>10524.262942827252</v>
      </c>
      <c r="H270" s="40">
        <v>7.4981929974063055E-2</v>
      </c>
      <c r="I270" s="40">
        <v>0.67274453201727558</v>
      </c>
      <c r="J270" s="40">
        <v>0.26867984421620839</v>
      </c>
    </row>
    <row r="271" spans="1:10" ht="11.25" customHeight="1" x14ac:dyDescent="0.2">
      <c r="A271" s="49">
        <v>44621</v>
      </c>
      <c r="B271" s="39">
        <v>0</v>
      </c>
      <c r="C271" s="39">
        <v>0</v>
      </c>
      <c r="D271" s="39">
        <v>10588.2851046</v>
      </c>
      <c r="E271" s="39">
        <v>11382.215156858529</v>
      </c>
      <c r="F271" s="39">
        <v>5075.7435679999999</v>
      </c>
      <c r="G271" s="39">
        <v>8490.4222992938558</v>
      </c>
      <c r="H271" s="40">
        <v>7.4981929974062833E-2</v>
      </c>
      <c r="I271" s="40">
        <v>0.67274453201727535</v>
      </c>
      <c r="J271" s="40">
        <v>0.26867984421620816</v>
      </c>
    </row>
    <row r="272" spans="1:10" ht="11.25" customHeight="1" x14ac:dyDescent="0.2">
      <c r="A272" s="49">
        <v>44652</v>
      </c>
      <c r="B272" s="39">
        <v>0</v>
      </c>
      <c r="C272" s="39">
        <v>0</v>
      </c>
      <c r="D272" s="39">
        <v>18150.476826000002</v>
      </c>
      <c r="E272" s="39">
        <v>19511.434608362986</v>
      </c>
      <c r="F272" s="39">
        <v>8700.85808</v>
      </c>
      <c r="G272" s="39">
        <v>14554.312777178331</v>
      </c>
      <c r="H272" s="40">
        <v>7.4981929974062833E-2</v>
      </c>
      <c r="I272" s="40">
        <v>0.67274453201727558</v>
      </c>
      <c r="J272" s="40">
        <v>0.26867984421620816</v>
      </c>
    </row>
    <row r="273" spans="1:10" ht="11.25" customHeight="1" x14ac:dyDescent="0.2">
      <c r="A273" s="49">
        <v>44682</v>
      </c>
      <c r="B273" s="39">
        <v>0</v>
      </c>
      <c r="C273" s="39">
        <v>0</v>
      </c>
      <c r="D273" s="39">
        <v>16404.954551399998</v>
      </c>
      <c r="E273" s="39">
        <v>17635.02970480076</v>
      </c>
      <c r="F273" s="39">
        <v>7864.1009119999999</v>
      </c>
      <c r="G273" s="39">
        <v>13154.631799780069</v>
      </c>
      <c r="H273" s="40">
        <v>7.4981929974063055E-2</v>
      </c>
      <c r="I273" s="40">
        <v>0.67274453201727535</v>
      </c>
      <c r="J273" s="40">
        <v>0.26867984421620816</v>
      </c>
    </row>
    <row r="274" spans="1:10" ht="11.25" customHeight="1" x14ac:dyDescent="0.2">
      <c r="A274" s="49">
        <v>44713</v>
      </c>
      <c r="B274" s="39">
        <v>0</v>
      </c>
      <c r="C274" s="39">
        <v>0</v>
      </c>
      <c r="D274" s="39">
        <v>9086.5362917999992</v>
      </c>
      <c r="E274" s="39">
        <v>9767.8623197385277</v>
      </c>
      <c r="F274" s="39">
        <v>4355.8449439999995</v>
      </c>
      <c r="G274" s="39">
        <v>7286.2158123910958</v>
      </c>
      <c r="H274" s="40">
        <v>7.4981929974062833E-2</v>
      </c>
      <c r="I274" s="40">
        <v>0.6727445320172758</v>
      </c>
      <c r="J274" s="40">
        <v>0.26867984421620816</v>
      </c>
    </row>
    <row r="275" spans="1:10" ht="11.25" customHeight="1" x14ac:dyDescent="0.2">
      <c r="A275" s="49">
        <v>44743</v>
      </c>
      <c r="B275" s="39">
        <v>0</v>
      </c>
      <c r="C275" s="39">
        <v>0</v>
      </c>
      <c r="D275" s="39">
        <v>12595.831260599998</v>
      </c>
      <c r="E275" s="39">
        <v>13540.29099814742</v>
      </c>
      <c r="F275" s="39">
        <v>6038.1080479999991</v>
      </c>
      <c r="G275" s="39">
        <v>10100.212221021504</v>
      </c>
      <c r="H275" s="40">
        <v>7.4981929974063055E-2</v>
      </c>
      <c r="I275" s="40">
        <v>0.67274453201727558</v>
      </c>
      <c r="J275" s="40">
        <v>0.26867984421620816</v>
      </c>
    </row>
    <row r="276" spans="1:10" ht="11.25" customHeight="1" x14ac:dyDescent="0.2">
      <c r="A276" s="49">
        <v>44774</v>
      </c>
      <c r="B276" s="39">
        <v>0</v>
      </c>
      <c r="C276" s="39">
        <v>0</v>
      </c>
      <c r="D276" s="39">
        <v>12719.6733936</v>
      </c>
      <c r="E276" s="39">
        <v>13673.419053291866</v>
      </c>
      <c r="F276" s="39">
        <v>6097.4746879999993</v>
      </c>
      <c r="G276" s="39">
        <v>10199.517443465742</v>
      </c>
      <c r="H276" s="40">
        <v>7.4981929974062833E-2</v>
      </c>
      <c r="I276" s="40">
        <v>0.67274453201727558</v>
      </c>
      <c r="J276" s="40">
        <v>0.26867984421620816</v>
      </c>
    </row>
    <row r="277" spans="1:10" ht="11.25" customHeight="1" x14ac:dyDescent="0.2">
      <c r="A277" s="42" t="s">
        <v>44</v>
      </c>
      <c r="B277" s="39">
        <v>0</v>
      </c>
      <c r="C277" s="39">
        <v>0</v>
      </c>
      <c r="D277" s="39">
        <v>139005.08549999999</v>
      </c>
      <c r="E277" s="39">
        <v>149427.07350614364</v>
      </c>
      <c r="F277" s="39">
        <v>66634.96488</v>
      </c>
      <c r="G277" s="39">
        <v>111463.27314418323</v>
      </c>
      <c r="H277" s="40">
        <v>7.4975587897779805E-2</v>
      </c>
      <c r="I277" s="40">
        <v>0.67274453201727602</v>
      </c>
      <c r="J277" s="40">
        <v>0.26867478474271178</v>
      </c>
    </row>
    <row r="278" spans="1:10" ht="11.25" customHeight="1" x14ac:dyDescent="0.2">
      <c r="A278" s="43" t="s">
        <v>23</v>
      </c>
      <c r="B278" s="39">
        <v>0</v>
      </c>
      <c r="C278" s="39">
        <v>0</v>
      </c>
      <c r="D278" s="39">
        <v>139005.08549999999</v>
      </c>
      <c r="E278" s="39">
        <v>149427.07350614364</v>
      </c>
      <c r="F278" s="39">
        <v>66634.96488</v>
      </c>
      <c r="G278" s="39">
        <v>111463.27314418323</v>
      </c>
      <c r="H278" s="40">
        <v>7.4975587897779805E-2</v>
      </c>
      <c r="I278" s="40">
        <v>0.67274453201727602</v>
      </c>
      <c r="J278" s="40">
        <v>0.26867478474271178</v>
      </c>
    </row>
    <row r="279" spans="1:10" ht="11.25" customHeight="1" x14ac:dyDescent="0.2">
      <c r="A279" s="44" t="s">
        <v>45</v>
      </c>
      <c r="B279" s="39">
        <v>0</v>
      </c>
      <c r="C279" s="39">
        <v>0</v>
      </c>
      <c r="D279" s="39">
        <v>139005.08549999999</v>
      </c>
      <c r="E279" s="39">
        <v>149427.07350614364</v>
      </c>
      <c r="F279" s="39">
        <v>66634.96488</v>
      </c>
      <c r="G279" s="39">
        <v>111463.27314418323</v>
      </c>
      <c r="H279" s="40">
        <v>7.4975587897779805E-2</v>
      </c>
      <c r="I279" s="40">
        <v>0.67274453201727602</v>
      </c>
      <c r="J279" s="40">
        <v>0.26867478474271178</v>
      </c>
    </row>
    <row r="280" spans="1:10" ht="11.25" customHeight="1" x14ac:dyDescent="0.2">
      <c r="A280" s="45" t="s">
        <v>46</v>
      </c>
      <c r="B280" s="39">
        <v>0</v>
      </c>
      <c r="C280" s="39">
        <v>0</v>
      </c>
      <c r="D280" s="39">
        <v>139005.08549999999</v>
      </c>
      <c r="E280" s="39">
        <v>149427.07350614364</v>
      </c>
      <c r="F280" s="39">
        <v>66634.96488</v>
      </c>
      <c r="G280" s="39">
        <v>111463.27314418323</v>
      </c>
      <c r="H280" s="40">
        <v>7.4975587897779805E-2</v>
      </c>
      <c r="I280" s="40">
        <v>0.67274453201727602</v>
      </c>
      <c r="J280" s="40">
        <v>0.26867478474271178</v>
      </c>
    </row>
    <row r="281" spans="1:10" ht="11.25" customHeight="1" x14ac:dyDescent="0.2">
      <c r="A281" s="46" t="s">
        <v>25</v>
      </c>
      <c r="B281" s="39">
        <v>0</v>
      </c>
      <c r="C281" s="39">
        <v>0</v>
      </c>
      <c r="D281" s="39">
        <v>139005.08549999999</v>
      </c>
      <c r="E281" s="39">
        <v>149427.07350614364</v>
      </c>
      <c r="F281" s="39">
        <v>66634.96488</v>
      </c>
      <c r="G281" s="39">
        <v>111463.27314418323</v>
      </c>
      <c r="H281" s="40">
        <v>7.4975587897779805E-2</v>
      </c>
      <c r="I281" s="40">
        <v>0.67274453201727602</v>
      </c>
      <c r="J281" s="40">
        <v>0.26867478474271178</v>
      </c>
    </row>
    <row r="282" spans="1:10" ht="11.25" customHeight="1" x14ac:dyDescent="0.2">
      <c r="A282" s="47" t="s">
        <v>25</v>
      </c>
      <c r="B282" s="39">
        <v>0</v>
      </c>
      <c r="C282" s="39">
        <v>0</v>
      </c>
      <c r="D282" s="39">
        <v>139005.08549999999</v>
      </c>
      <c r="E282" s="39">
        <v>149427.07350614364</v>
      </c>
      <c r="F282" s="39">
        <v>66634.96488</v>
      </c>
      <c r="G282" s="39">
        <v>111463.27314418323</v>
      </c>
      <c r="H282" s="40">
        <v>7.4975587897779805E-2</v>
      </c>
      <c r="I282" s="40">
        <v>0.67274453201727602</v>
      </c>
      <c r="J282" s="40">
        <v>0.26867478474271178</v>
      </c>
    </row>
    <row r="283" spans="1:10" ht="11.25" customHeight="1" x14ac:dyDescent="0.2">
      <c r="A283" s="48" t="s">
        <v>25</v>
      </c>
      <c r="B283" s="39">
        <v>0</v>
      </c>
      <c r="C283" s="39">
        <v>0</v>
      </c>
      <c r="D283" s="39">
        <v>139005.08549999999</v>
      </c>
      <c r="E283" s="39">
        <v>149427.07350614364</v>
      </c>
      <c r="F283" s="39">
        <v>66634.96488</v>
      </c>
      <c r="G283" s="39">
        <v>111463.27314418323</v>
      </c>
      <c r="H283" s="40">
        <v>7.4975587897779805E-2</v>
      </c>
      <c r="I283" s="40">
        <v>0.67274453201727602</v>
      </c>
      <c r="J283" s="40">
        <v>0.26867478474271178</v>
      </c>
    </row>
    <row r="284" spans="1:10" ht="11.25" customHeight="1" x14ac:dyDescent="0.2">
      <c r="A284" s="49">
        <v>44440</v>
      </c>
      <c r="B284" s="39">
        <v>0</v>
      </c>
      <c r="C284" s="39">
        <v>0</v>
      </c>
      <c r="D284" s="39">
        <v>10984.87125</v>
      </c>
      <c r="E284" s="39">
        <v>11808.468429950168</v>
      </c>
      <c r="F284" s="39">
        <v>5265.8253999999997</v>
      </c>
      <c r="G284" s="39">
        <v>8808.3806444076836</v>
      </c>
      <c r="H284" s="40">
        <v>7.4975587897779583E-2</v>
      </c>
      <c r="I284" s="40">
        <v>0.6727445320172758</v>
      </c>
      <c r="J284" s="40">
        <v>0.26867478474271134</v>
      </c>
    </row>
    <row r="285" spans="1:10" ht="11.25" customHeight="1" x14ac:dyDescent="0.2">
      <c r="A285" s="49">
        <v>44470</v>
      </c>
      <c r="B285" s="39">
        <v>0</v>
      </c>
      <c r="C285" s="39">
        <v>0</v>
      </c>
      <c r="D285" s="39">
        <v>11351.499749999999</v>
      </c>
      <c r="E285" s="39">
        <v>12202.585117277749</v>
      </c>
      <c r="F285" s="39">
        <v>5441.57636</v>
      </c>
      <c r="G285" s="39">
        <v>9102.3671017444703</v>
      </c>
      <c r="H285" s="40">
        <v>7.4975587897779805E-2</v>
      </c>
      <c r="I285" s="40">
        <v>0.67274453201727558</v>
      </c>
      <c r="J285" s="40">
        <v>0.26867478474271156</v>
      </c>
    </row>
    <row r="286" spans="1:10" ht="11.25" customHeight="1" x14ac:dyDescent="0.2">
      <c r="A286" s="49">
        <v>44501</v>
      </c>
      <c r="B286" s="39">
        <v>0</v>
      </c>
      <c r="C286" s="39">
        <v>0</v>
      </c>
      <c r="D286" s="39">
        <v>11555.154</v>
      </c>
      <c r="E286" s="39">
        <v>12421.508464399381</v>
      </c>
      <c r="F286" s="39">
        <v>5539.2022399999996</v>
      </c>
      <c r="G286" s="39">
        <v>9265.6702586978445</v>
      </c>
      <c r="H286" s="40">
        <v>7.4975587897779805E-2</v>
      </c>
      <c r="I286" s="40">
        <v>0.67274453201727558</v>
      </c>
      <c r="J286" s="40">
        <v>0.26867478474271134</v>
      </c>
    </row>
    <row r="287" spans="1:10" ht="11.25" customHeight="1" x14ac:dyDescent="0.2">
      <c r="A287" s="49">
        <v>44531</v>
      </c>
      <c r="B287" s="39">
        <v>0</v>
      </c>
      <c r="C287" s="39">
        <v>0</v>
      </c>
      <c r="D287" s="39">
        <v>11940.597</v>
      </c>
      <c r="E287" s="39">
        <v>12835.850279925464</v>
      </c>
      <c r="F287" s="39">
        <v>5723.9723199999999</v>
      </c>
      <c r="G287" s="39">
        <v>9574.74339969824</v>
      </c>
      <c r="H287" s="40">
        <v>7.4975587897779583E-2</v>
      </c>
      <c r="I287" s="40">
        <v>0.6727445320172758</v>
      </c>
      <c r="J287" s="40">
        <v>0.26867478474271156</v>
      </c>
    </row>
    <row r="288" spans="1:10" ht="11.25" customHeight="1" x14ac:dyDescent="0.2">
      <c r="A288" s="49">
        <v>44562</v>
      </c>
      <c r="B288" s="39">
        <v>0</v>
      </c>
      <c r="C288" s="39">
        <v>0</v>
      </c>
      <c r="D288" s="39">
        <v>11940.597</v>
      </c>
      <c r="E288" s="39">
        <v>12835.850279925464</v>
      </c>
      <c r="F288" s="39">
        <v>5723.9723199999999</v>
      </c>
      <c r="G288" s="39">
        <v>9574.74339969824</v>
      </c>
      <c r="H288" s="40">
        <v>7.4975587897779583E-2</v>
      </c>
      <c r="I288" s="40">
        <v>0.6727445320172758</v>
      </c>
      <c r="J288" s="40">
        <v>0.26867478474271156</v>
      </c>
    </row>
    <row r="289" spans="1:10" ht="11.25" customHeight="1" x14ac:dyDescent="0.2">
      <c r="A289" s="49">
        <v>44593</v>
      </c>
      <c r="B289" s="39">
        <v>0</v>
      </c>
      <c r="C289" s="39">
        <v>0</v>
      </c>
      <c r="D289" s="39">
        <v>11064.451500000001</v>
      </c>
      <c r="E289" s="39">
        <v>11894.015255978971</v>
      </c>
      <c r="F289" s="39">
        <v>5303.9738399999997</v>
      </c>
      <c r="G289" s="39">
        <v>8872.1932388226724</v>
      </c>
      <c r="H289" s="40">
        <v>7.4975587897779583E-2</v>
      </c>
      <c r="I289" s="40">
        <v>0.6727445320172758</v>
      </c>
      <c r="J289" s="40">
        <v>0.26867478474271111</v>
      </c>
    </row>
    <row r="290" spans="1:10" ht="11.25" customHeight="1" x14ac:dyDescent="0.2">
      <c r="A290" s="49">
        <v>44621</v>
      </c>
      <c r="B290" s="39">
        <v>0</v>
      </c>
      <c r="C290" s="39">
        <v>0</v>
      </c>
      <c r="D290" s="39">
        <v>11940.597</v>
      </c>
      <c r="E290" s="39">
        <v>12835.850279925464</v>
      </c>
      <c r="F290" s="39">
        <v>5723.9723199999999</v>
      </c>
      <c r="G290" s="39">
        <v>9574.74339969824</v>
      </c>
      <c r="H290" s="40">
        <v>7.4975587897779583E-2</v>
      </c>
      <c r="I290" s="40">
        <v>0.6727445320172758</v>
      </c>
      <c r="J290" s="40">
        <v>0.26867478474271156</v>
      </c>
    </row>
    <row r="291" spans="1:10" ht="11.25" customHeight="1" x14ac:dyDescent="0.2">
      <c r="A291" s="49">
        <v>44652</v>
      </c>
      <c r="B291" s="39">
        <v>0</v>
      </c>
      <c r="C291" s="39">
        <v>0</v>
      </c>
      <c r="D291" s="39">
        <v>10850.373</v>
      </c>
      <c r="E291" s="39">
        <v>11663.886094585196</v>
      </c>
      <c r="F291" s="39">
        <v>5201.35088</v>
      </c>
      <c r="G291" s="39">
        <v>8700.5312436232452</v>
      </c>
      <c r="H291" s="40">
        <v>7.4975587897779805E-2</v>
      </c>
      <c r="I291" s="40">
        <v>0.6727445320172758</v>
      </c>
      <c r="J291" s="40">
        <v>0.26867478474271156</v>
      </c>
    </row>
    <row r="292" spans="1:10" ht="11.25" customHeight="1" x14ac:dyDescent="0.2">
      <c r="A292" s="49">
        <v>44682</v>
      </c>
      <c r="B292" s="39">
        <v>0</v>
      </c>
      <c r="C292" s="39">
        <v>0</v>
      </c>
      <c r="D292" s="39">
        <v>11940.597</v>
      </c>
      <c r="E292" s="39">
        <v>12835.850279925464</v>
      </c>
      <c r="F292" s="39">
        <v>5723.9723199999999</v>
      </c>
      <c r="G292" s="39">
        <v>9574.74339969824</v>
      </c>
      <c r="H292" s="40">
        <v>7.4975587897779583E-2</v>
      </c>
      <c r="I292" s="40">
        <v>0.6727445320172758</v>
      </c>
      <c r="J292" s="40">
        <v>0.26867478474271156</v>
      </c>
    </row>
    <row r="293" spans="1:10" ht="11.25" customHeight="1" x14ac:dyDescent="0.2">
      <c r="A293" s="49">
        <v>44713</v>
      </c>
      <c r="B293" s="39">
        <v>0</v>
      </c>
      <c r="C293" s="39">
        <v>0</v>
      </c>
      <c r="D293" s="39">
        <v>11555.154</v>
      </c>
      <c r="E293" s="39">
        <v>12421.508464399381</v>
      </c>
      <c r="F293" s="39">
        <v>5539.2022399999996</v>
      </c>
      <c r="G293" s="39">
        <v>9265.6702586978445</v>
      </c>
      <c r="H293" s="40">
        <v>7.4975587897779805E-2</v>
      </c>
      <c r="I293" s="40">
        <v>0.67274453201727558</v>
      </c>
      <c r="J293" s="40">
        <v>0.26867478474271134</v>
      </c>
    </row>
    <row r="294" spans="1:10" ht="11.25" customHeight="1" x14ac:dyDescent="0.2">
      <c r="A294" s="49">
        <v>44743</v>
      </c>
      <c r="B294" s="39">
        <v>0</v>
      </c>
      <c r="C294" s="39">
        <v>0</v>
      </c>
      <c r="D294" s="39">
        <v>11940.597</v>
      </c>
      <c r="E294" s="39">
        <v>12835.850279925464</v>
      </c>
      <c r="F294" s="39">
        <v>5723.9723199999999</v>
      </c>
      <c r="G294" s="39">
        <v>9574.74339969824</v>
      </c>
      <c r="H294" s="40">
        <v>7.4975587897779583E-2</v>
      </c>
      <c r="I294" s="40">
        <v>0.6727445320172758</v>
      </c>
      <c r="J294" s="40">
        <v>0.26867478474271156</v>
      </c>
    </row>
    <row r="295" spans="1:10" ht="11.25" customHeight="1" x14ac:dyDescent="0.2">
      <c r="A295" s="49">
        <v>44774</v>
      </c>
      <c r="B295" s="39">
        <v>0</v>
      </c>
      <c r="C295" s="39">
        <v>0</v>
      </c>
      <c r="D295" s="39">
        <v>11940.597</v>
      </c>
      <c r="E295" s="39">
        <v>12835.850279925464</v>
      </c>
      <c r="F295" s="39">
        <v>5723.9723199999999</v>
      </c>
      <c r="G295" s="39">
        <v>9574.74339969824</v>
      </c>
      <c r="H295" s="40">
        <v>7.4975587897779583E-2</v>
      </c>
      <c r="I295" s="40">
        <v>0.6727445320172758</v>
      </c>
      <c r="J295" s="40">
        <v>0.26867478474271156</v>
      </c>
    </row>
    <row r="296" spans="1:10" ht="11.25" customHeight="1" x14ac:dyDescent="0.2">
      <c r="A296" s="41" t="s">
        <v>51</v>
      </c>
      <c r="B296" s="39">
        <v>533069.18714616005</v>
      </c>
      <c r="C296" s="39">
        <v>575399.84980151081</v>
      </c>
      <c r="D296" s="39">
        <v>2667308.8089786181</v>
      </c>
      <c r="E296" s="39">
        <v>3144838.1285709324</v>
      </c>
      <c r="F296" s="39">
        <v>0</v>
      </c>
      <c r="G296" s="39">
        <v>0</v>
      </c>
      <c r="H296" s="40">
        <v>0.16243705677177678</v>
      </c>
      <c r="I296" s="40">
        <v>0</v>
      </c>
      <c r="J296" s="40">
        <v>0.16243705677177678</v>
      </c>
    </row>
    <row r="297" spans="1:10" ht="11.25" customHeight="1" x14ac:dyDescent="0.2">
      <c r="A297" s="42" t="s">
        <v>38</v>
      </c>
      <c r="B297" s="39">
        <v>533069.18714616005</v>
      </c>
      <c r="C297" s="39">
        <v>575399.84980151081</v>
      </c>
      <c r="D297" s="39">
        <v>2667308.8089786181</v>
      </c>
      <c r="E297" s="39">
        <v>3144838.1285709324</v>
      </c>
      <c r="F297" s="39">
        <v>0</v>
      </c>
      <c r="G297" s="39">
        <v>0</v>
      </c>
      <c r="H297" s="40">
        <v>0.16243705677177678</v>
      </c>
      <c r="I297" s="40">
        <v>0</v>
      </c>
      <c r="J297" s="40">
        <v>0.16243705677177678</v>
      </c>
    </row>
    <row r="298" spans="1:10" ht="11.25" customHeight="1" x14ac:dyDescent="0.2">
      <c r="A298" s="43" t="s">
        <v>39</v>
      </c>
      <c r="B298" s="39">
        <v>533069.18714616005</v>
      </c>
      <c r="C298" s="39">
        <v>575399.84980151081</v>
      </c>
      <c r="D298" s="39">
        <v>2667308.8089786181</v>
      </c>
      <c r="E298" s="39">
        <v>3144838.1285709324</v>
      </c>
      <c r="F298" s="39">
        <v>0</v>
      </c>
      <c r="G298" s="39">
        <v>0</v>
      </c>
      <c r="H298" s="40">
        <v>0.16243705677177678</v>
      </c>
      <c r="I298" s="40">
        <v>0</v>
      </c>
      <c r="J298" s="40">
        <v>0.16243705677177678</v>
      </c>
    </row>
    <row r="299" spans="1:10" ht="11.25" customHeight="1" x14ac:dyDescent="0.2">
      <c r="A299" s="44" t="s">
        <v>49</v>
      </c>
      <c r="B299" s="39">
        <v>533069.18714616005</v>
      </c>
      <c r="C299" s="39">
        <v>575399.84980151081</v>
      </c>
      <c r="D299" s="39">
        <v>2667308.8089786181</v>
      </c>
      <c r="E299" s="39">
        <v>3144838.1285709324</v>
      </c>
      <c r="F299" s="39">
        <v>0</v>
      </c>
      <c r="G299" s="39">
        <v>0</v>
      </c>
      <c r="H299" s="40">
        <v>0.16243705677177678</v>
      </c>
      <c r="I299" s="40">
        <v>0</v>
      </c>
      <c r="J299" s="40">
        <v>0.16243705677177678</v>
      </c>
    </row>
    <row r="300" spans="1:10" ht="11.25" customHeight="1" x14ac:dyDescent="0.2">
      <c r="A300" s="45" t="s">
        <v>25</v>
      </c>
      <c r="B300" s="39">
        <v>533069.18714616005</v>
      </c>
      <c r="C300" s="39">
        <v>575399.84980151081</v>
      </c>
      <c r="D300" s="39">
        <v>2667308.8089786181</v>
      </c>
      <c r="E300" s="39">
        <v>3144838.1285709324</v>
      </c>
      <c r="F300" s="39">
        <v>0</v>
      </c>
      <c r="G300" s="39">
        <v>0</v>
      </c>
      <c r="H300" s="40">
        <v>0.16243705677177678</v>
      </c>
      <c r="I300" s="40">
        <v>0</v>
      </c>
      <c r="J300" s="40">
        <v>0.16243705677177678</v>
      </c>
    </row>
    <row r="301" spans="1:10" ht="11.25" customHeight="1" x14ac:dyDescent="0.2">
      <c r="A301" s="46" t="s">
        <v>50</v>
      </c>
      <c r="B301" s="39">
        <v>533069.18714616005</v>
      </c>
      <c r="C301" s="39">
        <v>575399.84980151081</v>
      </c>
      <c r="D301" s="39">
        <v>2667308.8089786181</v>
      </c>
      <c r="E301" s="39">
        <v>3144838.1285709324</v>
      </c>
      <c r="F301" s="39">
        <v>0</v>
      </c>
      <c r="G301" s="39">
        <v>0</v>
      </c>
      <c r="H301" s="40">
        <v>0.16243705677177678</v>
      </c>
      <c r="I301" s="40">
        <v>0</v>
      </c>
      <c r="J301" s="40">
        <v>0.16243705677177678</v>
      </c>
    </row>
    <row r="302" spans="1:10" ht="11.25" customHeight="1" x14ac:dyDescent="0.2">
      <c r="A302" s="47" t="s">
        <v>25</v>
      </c>
      <c r="B302" s="39">
        <v>533069.18714616005</v>
      </c>
      <c r="C302" s="39">
        <v>575399.84980151081</v>
      </c>
      <c r="D302" s="39">
        <v>2667308.8089786181</v>
      </c>
      <c r="E302" s="39">
        <v>3144838.1285709324</v>
      </c>
      <c r="F302" s="39">
        <v>0</v>
      </c>
      <c r="G302" s="39">
        <v>0</v>
      </c>
      <c r="H302" s="40">
        <v>0.16243705677177678</v>
      </c>
      <c r="I302" s="40">
        <v>0</v>
      </c>
      <c r="J302" s="40">
        <v>0.16243705677177678</v>
      </c>
    </row>
    <row r="303" spans="1:10" ht="11.25" customHeight="1" x14ac:dyDescent="0.2">
      <c r="A303" s="48" t="s">
        <v>34</v>
      </c>
      <c r="B303" s="39">
        <v>0</v>
      </c>
      <c r="C303" s="39">
        <v>0</v>
      </c>
      <c r="D303" s="39">
        <v>923436.10380000004</v>
      </c>
      <c r="E303" s="39">
        <v>1290863.1830706641</v>
      </c>
      <c r="F303" s="39">
        <v>0</v>
      </c>
      <c r="G303" s="39">
        <v>0</v>
      </c>
      <c r="H303" s="40">
        <v>0.39789117813206309</v>
      </c>
      <c r="I303" s="40">
        <v>0</v>
      </c>
      <c r="J303" s="40">
        <v>0.39789117813206309</v>
      </c>
    </row>
    <row r="304" spans="1:10" ht="11.25" customHeight="1" x14ac:dyDescent="0.2">
      <c r="A304" s="49">
        <v>44440</v>
      </c>
      <c r="B304" s="39">
        <v>0</v>
      </c>
      <c r="C304" s="39">
        <v>0</v>
      </c>
      <c r="D304" s="39">
        <v>74223.774359999996</v>
      </c>
      <c r="E304" s="39">
        <v>103756.75938550882</v>
      </c>
      <c r="F304" s="39">
        <v>0</v>
      </c>
      <c r="G304" s="39">
        <v>0</v>
      </c>
      <c r="H304" s="40">
        <v>0.39789117813206332</v>
      </c>
      <c r="I304" s="40">
        <v>0</v>
      </c>
      <c r="J304" s="40">
        <v>0.39789117813206332</v>
      </c>
    </row>
    <row r="305" spans="1:10" ht="11.25" customHeight="1" x14ac:dyDescent="0.2">
      <c r="A305" s="49">
        <v>44470</v>
      </c>
      <c r="B305" s="39">
        <v>0</v>
      </c>
      <c r="C305" s="39">
        <v>0</v>
      </c>
      <c r="D305" s="39">
        <v>70609.183199999999</v>
      </c>
      <c r="E305" s="39">
        <v>98703.954290390684</v>
      </c>
      <c r="F305" s="39">
        <v>0</v>
      </c>
      <c r="G305" s="39">
        <v>0</v>
      </c>
      <c r="H305" s="40">
        <v>0.39789117813206332</v>
      </c>
      <c r="I305" s="40">
        <v>0</v>
      </c>
      <c r="J305" s="40">
        <v>0.39789117813206332</v>
      </c>
    </row>
    <row r="306" spans="1:10" ht="11.25" customHeight="1" x14ac:dyDescent="0.2">
      <c r="A306" s="49">
        <v>44501</v>
      </c>
      <c r="B306" s="39">
        <v>0</v>
      </c>
      <c r="C306" s="39">
        <v>0</v>
      </c>
      <c r="D306" s="39">
        <v>72890.469120000009</v>
      </c>
      <c r="E306" s="39">
        <v>101892.94375275557</v>
      </c>
      <c r="F306" s="39">
        <v>0</v>
      </c>
      <c r="G306" s="39">
        <v>0</v>
      </c>
      <c r="H306" s="40">
        <v>0.39789117813206309</v>
      </c>
      <c r="I306" s="40">
        <v>0</v>
      </c>
      <c r="J306" s="40">
        <v>0.39789117813206309</v>
      </c>
    </row>
    <row r="307" spans="1:10" ht="11.25" customHeight="1" x14ac:dyDescent="0.2">
      <c r="A307" s="49">
        <v>44531</v>
      </c>
      <c r="B307" s="39">
        <v>0</v>
      </c>
      <c r="C307" s="39">
        <v>0</v>
      </c>
      <c r="D307" s="39">
        <v>81198.410640000002</v>
      </c>
      <c r="E307" s="39">
        <v>113506.54191200066</v>
      </c>
      <c r="F307" s="39">
        <v>0</v>
      </c>
      <c r="G307" s="39">
        <v>0</v>
      </c>
      <c r="H307" s="40">
        <v>0.39789117813206309</v>
      </c>
      <c r="I307" s="40">
        <v>0</v>
      </c>
      <c r="J307" s="40">
        <v>0.39789117813206309</v>
      </c>
    </row>
    <row r="308" spans="1:10" ht="11.25" customHeight="1" x14ac:dyDescent="0.2">
      <c r="A308" s="49">
        <v>44562</v>
      </c>
      <c r="B308" s="39">
        <v>0</v>
      </c>
      <c r="C308" s="39">
        <v>0</v>
      </c>
      <c r="D308" s="39">
        <v>81195.232319999996</v>
      </c>
      <c r="E308" s="39">
        <v>113502.09896651136</v>
      </c>
      <c r="F308" s="39">
        <v>0</v>
      </c>
      <c r="G308" s="39">
        <v>0</v>
      </c>
      <c r="H308" s="40">
        <v>0.39789117813206309</v>
      </c>
      <c r="I308" s="40">
        <v>0</v>
      </c>
      <c r="J308" s="40">
        <v>0.39789117813206309</v>
      </c>
    </row>
    <row r="309" spans="1:10" ht="11.25" customHeight="1" x14ac:dyDescent="0.2">
      <c r="A309" s="49">
        <v>44593</v>
      </c>
      <c r="B309" s="39">
        <v>0</v>
      </c>
      <c r="C309" s="39">
        <v>0</v>
      </c>
      <c r="D309" s="39">
        <v>76611.440520000004</v>
      </c>
      <c r="E309" s="39">
        <v>107094.45684689727</v>
      </c>
      <c r="F309" s="39">
        <v>0</v>
      </c>
      <c r="G309" s="39">
        <v>0</v>
      </c>
      <c r="H309" s="40">
        <v>0.39789117813206287</v>
      </c>
      <c r="I309" s="40">
        <v>0</v>
      </c>
      <c r="J309" s="40">
        <v>0.39789117813206287</v>
      </c>
    </row>
    <row r="310" spans="1:10" ht="11.25" customHeight="1" x14ac:dyDescent="0.2">
      <c r="A310" s="49">
        <v>44621</v>
      </c>
      <c r="B310" s="39">
        <v>0</v>
      </c>
      <c r="C310" s="39">
        <v>0</v>
      </c>
      <c r="D310" s="39">
        <v>77617.93968000001</v>
      </c>
      <c r="E310" s="39">
        <v>108501.43314345862</v>
      </c>
      <c r="F310" s="39">
        <v>0</v>
      </c>
      <c r="G310" s="39">
        <v>0</v>
      </c>
      <c r="H310" s="40">
        <v>0.39789117813206309</v>
      </c>
      <c r="I310" s="40">
        <v>0</v>
      </c>
      <c r="J310" s="40">
        <v>0.39789117813206309</v>
      </c>
    </row>
    <row r="311" spans="1:10" ht="11.25" customHeight="1" x14ac:dyDescent="0.2">
      <c r="A311" s="49">
        <v>44652</v>
      </c>
      <c r="B311" s="39">
        <v>0</v>
      </c>
      <c r="C311" s="39">
        <v>0</v>
      </c>
      <c r="D311" s="39">
        <v>73873.785240000012</v>
      </c>
      <c r="E311" s="39">
        <v>103267.51268221863</v>
      </c>
      <c r="F311" s="39">
        <v>0</v>
      </c>
      <c r="G311" s="39">
        <v>0</v>
      </c>
      <c r="H311" s="40">
        <v>0.39789117813206309</v>
      </c>
      <c r="I311" s="40">
        <v>0</v>
      </c>
      <c r="J311" s="40">
        <v>0.39789117813206309</v>
      </c>
    </row>
    <row r="312" spans="1:10" ht="11.25" customHeight="1" x14ac:dyDescent="0.2">
      <c r="A312" s="49">
        <v>44682</v>
      </c>
      <c r="B312" s="39">
        <v>0</v>
      </c>
      <c r="C312" s="39">
        <v>0</v>
      </c>
      <c r="D312" s="39">
        <v>76847.757960000003</v>
      </c>
      <c r="E312" s="39">
        <v>107424.80291151203</v>
      </c>
      <c r="F312" s="39">
        <v>0</v>
      </c>
      <c r="G312" s="39">
        <v>0</v>
      </c>
      <c r="H312" s="40">
        <v>0.39789117813206309</v>
      </c>
      <c r="I312" s="40">
        <v>0</v>
      </c>
      <c r="J312" s="40">
        <v>0.39789117813206309</v>
      </c>
    </row>
    <row r="313" spans="1:10" ht="11.25" customHeight="1" x14ac:dyDescent="0.2">
      <c r="A313" s="49">
        <v>44713</v>
      </c>
      <c r="B313" s="39">
        <v>0</v>
      </c>
      <c r="C313" s="39">
        <v>0</v>
      </c>
      <c r="D313" s="39">
        <v>72734.357520000005</v>
      </c>
      <c r="E313" s="39">
        <v>101674.71672431148</v>
      </c>
      <c r="F313" s="39">
        <v>0</v>
      </c>
      <c r="G313" s="39">
        <v>0</v>
      </c>
      <c r="H313" s="40">
        <v>0.39789117813206287</v>
      </c>
      <c r="I313" s="40">
        <v>0</v>
      </c>
      <c r="J313" s="40">
        <v>0.39789117813206287</v>
      </c>
    </row>
    <row r="314" spans="1:10" ht="11.25" customHeight="1" x14ac:dyDescent="0.2">
      <c r="A314" s="49">
        <v>44743</v>
      </c>
      <c r="B314" s="39">
        <v>0</v>
      </c>
      <c r="C314" s="39">
        <v>0</v>
      </c>
      <c r="D314" s="39">
        <v>83870.069040000002</v>
      </c>
      <c r="E314" s="39">
        <v>117241.22962034307</v>
      </c>
      <c r="F314" s="39">
        <v>0</v>
      </c>
      <c r="G314" s="39">
        <v>0</v>
      </c>
      <c r="H314" s="40">
        <v>0.39789117813206309</v>
      </c>
      <c r="I314" s="40">
        <v>0</v>
      </c>
      <c r="J314" s="40">
        <v>0.39789117813206309</v>
      </c>
    </row>
    <row r="315" spans="1:10" ht="11.25" customHeight="1" x14ac:dyDescent="0.2">
      <c r="A315" s="49">
        <v>44774</v>
      </c>
      <c r="B315" s="39">
        <v>0</v>
      </c>
      <c r="C315" s="39">
        <v>0</v>
      </c>
      <c r="D315" s="39">
        <v>81763.684200000003</v>
      </c>
      <c r="E315" s="39">
        <v>114296.73283475595</v>
      </c>
      <c r="F315" s="39">
        <v>0</v>
      </c>
      <c r="G315" s="39">
        <v>0</v>
      </c>
      <c r="H315" s="40">
        <v>0.39789117813206309</v>
      </c>
      <c r="I315" s="40">
        <v>0</v>
      </c>
      <c r="J315" s="40">
        <v>0.39789117813206309</v>
      </c>
    </row>
    <row r="316" spans="1:10" ht="11.25" customHeight="1" x14ac:dyDescent="0.2">
      <c r="A316" s="48" t="s">
        <v>25</v>
      </c>
      <c r="B316" s="39">
        <v>533069.18714616005</v>
      </c>
      <c r="C316" s="39">
        <v>575399.84980151081</v>
      </c>
      <c r="D316" s="39">
        <v>0</v>
      </c>
      <c r="E316" s="39">
        <v>0</v>
      </c>
      <c r="F316" s="39">
        <v>0</v>
      </c>
      <c r="G316" s="39">
        <v>0</v>
      </c>
      <c r="H316" s="40">
        <v>7.9409321859273518E-2</v>
      </c>
      <c r="I316" s="40">
        <v>0</v>
      </c>
      <c r="J316" s="40">
        <v>7.9409321859273518E-2</v>
      </c>
    </row>
    <row r="317" spans="1:10" ht="11.25" customHeight="1" x14ac:dyDescent="0.2">
      <c r="A317" s="49">
        <v>44440</v>
      </c>
      <c r="B317" s="39">
        <v>62664</v>
      </c>
      <c r="C317" s="39">
        <v>67640.105744989516</v>
      </c>
      <c r="D317" s="39">
        <v>0</v>
      </c>
      <c r="E317" s="39">
        <v>0</v>
      </c>
      <c r="F317" s="39">
        <v>0</v>
      </c>
      <c r="G317" s="39">
        <v>0</v>
      </c>
      <c r="H317" s="40">
        <v>7.9409321859273518E-2</v>
      </c>
      <c r="I317" s="40">
        <v>0</v>
      </c>
      <c r="J317" s="40">
        <v>7.9409321859273518E-2</v>
      </c>
    </row>
    <row r="318" spans="1:10" ht="11.25" customHeight="1" x14ac:dyDescent="0.2">
      <c r="A318" s="49">
        <v>44470</v>
      </c>
      <c r="B318" s="39">
        <v>62664</v>
      </c>
      <c r="C318" s="39">
        <v>67640.105744989516</v>
      </c>
      <c r="D318" s="39">
        <v>0</v>
      </c>
      <c r="E318" s="39">
        <v>0</v>
      </c>
      <c r="F318" s="39">
        <v>0</v>
      </c>
      <c r="G318" s="39">
        <v>0</v>
      </c>
      <c r="H318" s="40">
        <v>7.9409321859273518E-2</v>
      </c>
      <c r="I318" s="40">
        <v>0</v>
      </c>
      <c r="J318" s="40">
        <v>7.9409321859273518E-2</v>
      </c>
    </row>
    <row r="319" spans="1:10" ht="11.25" customHeight="1" x14ac:dyDescent="0.2">
      <c r="A319" s="49">
        <v>44501</v>
      </c>
      <c r="B319" s="39">
        <v>62664</v>
      </c>
      <c r="C319" s="39">
        <v>67640.105744989516</v>
      </c>
      <c r="D319" s="39">
        <v>0</v>
      </c>
      <c r="E319" s="39">
        <v>0</v>
      </c>
      <c r="F319" s="39">
        <v>0</v>
      </c>
      <c r="G319" s="39">
        <v>0</v>
      </c>
      <c r="H319" s="40">
        <v>7.9409321859273518E-2</v>
      </c>
      <c r="I319" s="40">
        <v>0</v>
      </c>
      <c r="J319" s="40">
        <v>7.9409321859273518E-2</v>
      </c>
    </row>
    <row r="320" spans="1:10" ht="11.25" customHeight="1" x14ac:dyDescent="0.2">
      <c r="A320" s="49">
        <v>44531</v>
      </c>
      <c r="B320" s="39">
        <v>62664</v>
      </c>
      <c r="C320" s="39">
        <v>67640.105744989516</v>
      </c>
      <c r="D320" s="39">
        <v>0</v>
      </c>
      <c r="E320" s="39">
        <v>0</v>
      </c>
      <c r="F320" s="39">
        <v>0</v>
      </c>
      <c r="G320" s="39">
        <v>0</v>
      </c>
      <c r="H320" s="40">
        <v>7.9409321859273518E-2</v>
      </c>
      <c r="I320" s="40">
        <v>0</v>
      </c>
      <c r="J320" s="40">
        <v>7.9409321859273518E-2</v>
      </c>
    </row>
    <row r="321" spans="1:10" ht="11.25" customHeight="1" x14ac:dyDescent="0.2">
      <c r="A321" s="49">
        <v>44562</v>
      </c>
      <c r="B321" s="39">
        <v>62664</v>
      </c>
      <c r="C321" s="39">
        <v>67640.105744989516</v>
      </c>
      <c r="D321" s="39">
        <v>0</v>
      </c>
      <c r="E321" s="39">
        <v>0</v>
      </c>
      <c r="F321" s="39">
        <v>0</v>
      </c>
      <c r="G321" s="39">
        <v>0</v>
      </c>
      <c r="H321" s="40">
        <v>7.9409321859273518E-2</v>
      </c>
      <c r="I321" s="40">
        <v>0</v>
      </c>
      <c r="J321" s="40">
        <v>7.9409321859273518E-2</v>
      </c>
    </row>
    <row r="322" spans="1:10" ht="11.25" customHeight="1" x14ac:dyDescent="0.2">
      <c r="A322" s="49">
        <v>44593</v>
      </c>
      <c r="B322" s="39">
        <v>31510.245868080001</v>
      </c>
      <c r="C322" s="39">
        <v>34012.453124083208</v>
      </c>
      <c r="D322" s="39">
        <v>0</v>
      </c>
      <c r="E322" s="39">
        <v>0</v>
      </c>
      <c r="F322" s="39">
        <v>0</v>
      </c>
      <c r="G322" s="39">
        <v>0</v>
      </c>
      <c r="H322" s="40">
        <v>7.9409321859273518E-2</v>
      </c>
      <c r="I322" s="40">
        <v>0</v>
      </c>
      <c r="J322" s="40">
        <v>7.9409321859273518E-2</v>
      </c>
    </row>
    <row r="323" spans="1:10" ht="11.25" customHeight="1" x14ac:dyDescent="0.2">
      <c r="A323" s="49">
        <v>44621</v>
      </c>
      <c r="B323" s="39">
        <v>31465.275048479998</v>
      </c>
      <c r="C323" s="39">
        <v>33963.911202195319</v>
      </c>
      <c r="D323" s="39">
        <v>0</v>
      </c>
      <c r="E323" s="39">
        <v>0</v>
      </c>
      <c r="F323" s="39">
        <v>0</v>
      </c>
      <c r="G323" s="39">
        <v>0</v>
      </c>
      <c r="H323" s="40">
        <v>7.940932185927374E-2</v>
      </c>
      <c r="I323" s="40">
        <v>0</v>
      </c>
      <c r="J323" s="40">
        <v>7.940932185927374E-2</v>
      </c>
    </row>
    <row r="324" spans="1:10" ht="11.25" customHeight="1" x14ac:dyDescent="0.2">
      <c r="A324" s="49">
        <v>44652</v>
      </c>
      <c r="B324" s="39">
        <v>31405.333172640003</v>
      </c>
      <c r="C324" s="39">
        <v>33899.209382643894</v>
      </c>
      <c r="D324" s="39">
        <v>0</v>
      </c>
      <c r="E324" s="39">
        <v>0</v>
      </c>
      <c r="F324" s="39">
        <v>0</v>
      </c>
      <c r="G324" s="39">
        <v>0</v>
      </c>
      <c r="H324" s="40">
        <v>7.9409321859273518E-2</v>
      </c>
      <c r="I324" s="40">
        <v>0</v>
      </c>
      <c r="J324" s="40">
        <v>7.9409321859273518E-2</v>
      </c>
    </row>
    <row r="325" spans="1:10" ht="11.25" customHeight="1" x14ac:dyDescent="0.2">
      <c r="A325" s="49">
        <v>44682</v>
      </c>
      <c r="B325" s="39">
        <v>31356.746013599997</v>
      </c>
      <c r="C325" s="39">
        <v>33846.763950253451</v>
      </c>
      <c r="D325" s="39">
        <v>0</v>
      </c>
      <c r="E325" s="39">
        <v>0</v>
      </c>
      <c r="F325" s="39">
        <v>0</v>
      </c>
      <c r="G325" s="39">
        <v>0</v>
      </c>
      <c r="H325" s="40">
        <v>7.9409321859273518E-2</v>
      </c>
      <c r="I325" s="40">
        <v>0</v>
      </c>
      <c r="J325" s="40">
        <v>7.9409321859273518E-2</v>
      </c>
    </row>
    <row r="326" spans="1:10" ht="11.25" customHeight="1" x14ac:dyDescent="0.2">
      <c r="A326" s="49">
        <v>44713</v>
      </c>
      <c r="B326" s="39">
        <v>31347.587043359999</v>
      </c>
      <c r="C326" s="39">
        <v>33836.877672397764</v>
      </c>
      <c r="D326" s="39">
        <v>0</v>
      </c>
      <c r="E326" s="39">
        <v>0</v>
      </c>
      <c r="F326" s="39">
        <v>0</v>
      </c>
      <c r="G326" s="39">
        <v>0</v>
      </c>
      <c r="H326" s="40">
        <v>7.9409321859273518E-2</v>
      </c>
      <c r="I326" s="40">
        <v>0</v>
      </c>
      <c r="J326" s="40">
        <v>7.9409321859273518E-2</v>
      </c>
    </row>
    <row r="327" spans="1:10" ht="11.25" customHeight="1" x14ac:dyDescent="0.2">
      <c r="A327" s="49">
        <v>44743</v>
      </c>
      <c r="B327" s="39">
        <v>31332</v>
      </c>
      <c r="C327" s="39">
        <v>33820.052872494758</v>
      </c>
      <c r="D327" s="39">
        <v>0</v>
      </c>
      <c r="E327" s="39">
        <v>0</v>
      </c>
      <c r="F327" s="39">
        <v>0</v>
      </c>
      <c r="G327" s="39">
        <v>0</v>
      </c>
      <c r="H327" s="40">
        <v>7.9409321859273518E-2</v>
      </c>
      <c r="I327" s="40">
        <v>0</v>
      </c>
      <c r="J327" s="40">
        <v>7.9409321859273518E-2</v>
      </c>
    </row>
    <row r="328" spans="1:10" ht="11.25" customHeight="1" x14ac:dyDescent="0.2">
      <c r="A328" s="49">
        <v>44774</v>
      </c>
      <c r="B328" s="39">
        <v>31332</v>
      </c>
      <c r="C328" s="39">
        <v>33820.052872494758</v>
      </c>
      <c r="D328" s="39">
        <v>0</v>
      </c>
      <c r="E328" s="39">
        <v>0</v>
      </c>
      <c r="F328" s="39">
        <v>0</v>
      </c>
      <c r="G328" s="39">
        <v>0</v>
      </c>
      <c r="H328" s="40">
        <v>7.9409321859273518E-2</v>
      </c>
      <c r="I328" s="40">
        <v>0</v>
      </c>
      <c r="J328" s="40">
        <v>7.9409321859273518E-2</v>
      </c>
    </row>
    <row r="329" spans="1:10" ht="11.25" customHeight="1" x14ac:dyDescent="0.2">
      <c r="A329" s="48" t="s">
        <v>40</v>
      </c>
      <c r="B329" s="39">
        <v>0</v>
      </c>
      <c r="C329" s="39">
        <v>0</v>
      </c>
      <c r="D329" s="39">
        <v>1743872.7051786182</v>
      </c>
      <c r="E329" s="39">
        <v>1853974.945500267</v>
      </c>
      <c r="F329" s="39">
        <v>0</v>
      </c>
      <c r="G329" s="39">
        <v>0</v>
      </c>
      <c r="H329" s="40">
        <v>6.3136626884914504E-2</v>
      </c>
      <c r="I329" s="40">
        <v>0</v>
      </c>
      <c r="J329" s="40">
        <v>6.3136626884914504E-2</v>
      </c>
    </row>
    <row r="330" spans="1:10" ht="11.25" customHeight="1" x14ac:dyDescent="0.2">
      <c r="A330" s="49">
        <v>44440</v>
      </c>
      <c r="B330" s="39">
        <v>0</v>
      </c>
      <c r="C330" s="39">
        <v>0</v>
      </c>
      <c r="D330" s="39">
        <v>205506.55800000002</v>
      </c>
      <c r="E330" s="39">
        <v>218481.5488748491</v>
      </c>
      <c r="F330" s="39">
        <v>0</v>
      </c>
      <c r="G330" s="39">
        <v>0</v>
      </c>
      <c r="H330" s="40">
        <v>6.3136626884914726E-2</v>
      </c>
      <c r="I330" s="40">
        <v>0</v>
      </c>
      <c r="J330" s="40">
        <v>6.3136626884914726E-2</v>
      </c>
    </row>
    <row r="331" spans="1:10" ht="11.25" customHeight="1" x14ac:dyDescent="0.2">
      <c r="A331" s="49">
        <v>44470</v>
      </c>
      <c r="B331" s="39">
        <v>0</v>
      </c>
      <c r="C331" s="39">
        <v>0</v>
      </c>
      <c r="D331" s="39">
        <v>172127.63249999998</v>
      </c>
      <c r="E331" s="39">
        <v>182995.19060973619</v>
      </c>
      <c r="F331" s="39">
        <v>0</v>
      </c>
      <c r="G331" s="39">
        <v>0</v>
      </c>
      <c r="H331" s="40">
        <v>6.3136626884914726E-2</v>
      </c>
      <c r="I331" s="40">
        <v>0</v>
      </c>
      <c r="J331" s="40">
        <v>6.3136626884914726E-2</v>
      </c>
    </row>
    <row r="332" spans="1:10" ht="11.25" customHeight="1" x14ac:dyDescent="0.2">
      <c r="A332" s="49">
        <v>44501</v>
      </c>
      <c r="B332" s="39">
        <v>0</v>
      </c>
      <c r="C332" s="39">
        <v>0</v>
      </c>
      <c r="D332" s="39">
        <v>192113.4105</v>
      </c>
      <c r="E332" s="39">
        <v>204242.80321832697</v>
      </c>
      <c r="F332" s="39">
        <v>0</v>
      </c>
      <c r="G332" s="39">
        <v>0</v>
      </c>
      <c r="H332" s="40">
        <v>6.3136626884914726E-2</v>
      </c>
      <c r="I332" s="40">
        <v>0</v>
      </c>
      <c r="J332" s="40">
        <v>6.3136626884914726E-2</v>
      </c>
    </row>
    <row r="333" spans="1:10" ht="11.25" customHeight="1" x14ac:dyDescent="0.2">
      <c r="A333" s="49">
        <v>44531</v>
      </c>
      <c r="B333" s="39">
        <v>0</v>
      </c>
      <c r="C333" s="39">
        <v>0</v>
      </c>
      <c r="D333" s="39">
        <v>221470.8075</v>
      </c>
      <c r="E333" s="39">
        <v>235453.72723902826</v>
      </c>
      <c r="F333" s="39">
        <v>0</v>
      </c>
      <c r="G333" s="39">
        <v>0</v>
      </c>
      <c r="H333" s="40">
        <v>6.3136626884914726E-2</v>
      </c>
      <c r="I333" s="40">
        <v>0</v>
      </c>
      <c r="J333" s="40">
        <v>6.3136626884914726E-2</v>
      </c>
    </row>
    <row r="334" spans="1:10" ht="11.25" customHeight="1" x14ac:dyDescent="0.2">
      <c r="A334" s="49">
        <v>44562</v>
      </c>
      <c r="B334" s="39">
        <v>0</v>
      </c>
      <c r="C334" s="39">
        <v>0</v>
      </c>
      <c r="D334" s="39">
        <v>199267.5735</v>
      </c>
      <c r="E334" s="39">
        <v>211848.65593833182</v>
      </c>
      <c r="F334" s="39">
        <v>0</v>
      </c>
      <c r="G334" s="39">
        <v>0</v>
      </c>
      <c r="H334" s="40">
        <v>6.3136626884914726E-2</v>
      </c>
      <c r="I334" s="40">
        <v>0</v>
      </c>
      <c r="J334" s="40">
        <v>6.3136626884914726E-2</v>
      </c>
    </row>
    <row r="335" spans="1:10" ht="11.25" customHeight="1" x14ac:dyDescent="0.2">
      <c r="A335" s="49">
        <v>44593</v>
      </c>
      <c r="B335" s="39">
        <v>0</v>
      </c>
      <c r="C335" s="39">
        <v>0</v>
      </c>
      <c r="D335" s="39">
        <v>97858.571762333566</v>
      </c>
      <c r="E335" s="39">
        <v>104037.03189518266</v>
      </c>
      <c r="F335" s="39">
        <v>0</v>
      </c>
      <c r="G335" s="39">
        <v>0</v>
      </c>
      <c r="H335" s="40">
        <v>6.3136626884914726E-2</v>
      </c>
      <c r="I335" s="40">
        <v>0</v>
      </c>
      <c r="J335" s="40">
        <v>6.3136626884914726E-2</v>
      </c>
    </row>
    <row r="336" spans="1:10" ht="11.25" customHeight="1" x14ac:dyDescent="0.2">
      <c r="A336" s="49">
        <v>44621</v>
      </c>
      <c r="B336" s="39">
        <v>0</v>
      </c>
      <c r="C336" s="39">
        <v>0</v>
      </c>
      <c r="D336" s="39">
        <v>113260.42652131835</v>
      </c>
      <c r="E336" s="39">
        <v>120411.30781142112</v>
      </c>
      <c r="F336" s="39">
        <v>0</v>
      </c>
      <c r="G336" s="39">
        <v>0</v>
      </c>
      <c r="H336" s="40">
        <v>6.3136626884914726E-2</v>
      </c>
      <c r="I336" s="40">
        <v>0</v>
      </c>
      <c r="J336" s="40">
        <v>6.3136626884914726E-2</v>
      </c>
    </row>
    <row r="337" spans="1:10" ht="11.25" customHeight="1" x14ac:dyDescent="0.2">
      <c r="A337" s="49">
        <v>44652</v>
      </c>
      <c r="B337" s="39">
        <v>0</v>
      </c>
      <c r="C337" s="39">
        <v>0</v>
      </c>
      <c r="D337" s="39">
        <v>106250.22325039626</v>
      </c>
      <c r="E337" s="39">
        <v>112958.5039521954</v>
      </c>
      <c r="F337" s="39">
        <v>0</v>
      </c>
      <c r="G337" s="39">
        <v>0</v>
      </c>
      <c r="H337" s="40">
        <v>6.3136626884914504E-2</v>
      </c>
      <c r="I337" s="40">
        <v>0</v>
      </c>
      <c r="J337" s="40">
        <v>6.3136626884914504E-2</v>
      </c>
    </row>
    <row r="338" spans="1:10" ht="11.25" customHeight="1" x14ac:dyDescent="0.2">
      <c r="A338" s="49">
        <v>44682</v>
      </c>
      <c r="B338" s="39">
        <v>0</v>
      </c>
      <c r="C338" s="39">
        <v>0</v>
      </c>
      <c r="D338" s="39">
        <v>106740.41203125945</v>
      </c>
      <c r="E338" s="39">
        <v>113479.64159921913</v>
      </c>
      <c r="F338" s="39">
        <v>0</v>
      </c>
      <c r="G338" s="39">
        <v>0</v>
      </c>
      <c r="H338" s="40">
        <v>6.3136626884914726E-2</v>
      </c>
      <c r="I338" s="40">
        <v>0</v>
      </c>
      <c r="J338" s="40">
        <v>6.3136626884914726E-2</v>
      </c>
    </row>
    <row r="339" spans="1:10" ht="11.25" customHeight="1" x14ac:dyDescent="0.2">
      <c r="A339" s="49">
        <v>44713</v>
      </c>
      <c r="B339" s="39">
        <v>0</v>
      </c>
      <c r="C339" s="39">
        <v>0</v>
      </c>
      <c r="D339" s="39">
        <v>107443.25515086373</v>
      </c>
      <c r="E339" s="39">
        <v>114226.85986262449</v>
      </c>
      <c r="F339" s="39">
        <v>0</v>
      </c>
      <c r="G339" s="39">
        <v>0</v>
      </c>
      <c r="H339" s="40">
        <v>6.3136626884914726E-2</v>
      </c>
      <c r="I339" s="40">
        <v>0</v>
      </c>
      <c r="J339" s="40">
        <v>6.3136626884914726E-2</v>
      </c>
    </row>
    <row r="340" spans="1:10" ht="11.25" customHeight="1" x14ac:dyDescent="0.2">
      <c r="A340" s="49">
        <v>44743</v>
      </c>
      <c r="B340" s="39">
        <v>0</v>
      </c>
      <c r="C340" s="39">
        <v>0</v>
      </c>
      <c r="D340" s="39">
        <v>107141.26324646328</v>
      </c>
      <c r="E340" s="39">
        <v>113905.80120803365</v>
      </c>
      <c r="F340" s="39">
        <v>0</v>
      </c>
      <c r="G340" s="39">
        <v>0</v>
      </c>
      <c r="H340" s="40">
        <v>6.3136626884914726E-2</v>
      </c>
      <c r="I340" s="40">
        <v>0</v>
      </c>
      <c r="J340" s="40">
        <v>6.3136626884914726E-2</v>
      </c>
    </row>
    <row r="341" spans="1:10" ht="11.25" customHeight="1" x14ac:dyDescent="0.2">
      <c r="A341" s="49">
        <v>44774</v>
      </c>
      <c r="B341" s="39">
        <v>0</v>
      </c>
      <c r="C341" s="39">
        <v>0</v>
      </c>
      <c r="D341" s="39">
        <v>114692.57121598354</v>
      </c>
      <c r="E341" s="39">
        <v>121933.8732913186</v>
      </c>
      <c r="F341" s="39">
        <v>0</v>
      </c>
      <c r="G341" s="39">
        <v>0</v>
      </c>
      <c r="H341" s="40">
        <v>6.3136626884914726E-2</v>
      </c>
      <c r="I341" s="40">
        <v>0</v>
      </c>
      <c r="J341" s="40">
        <v>6.3136626884914726E-2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600-CC5B-4652-B275-341786F54BB2}">
  <dimension ref="A1:G209"/>
  <sheetViews>
    <sheetView showGridLines="0" workbookViewId="0"/>
  </sheetViews>
  <sheetFormatPr defaultRowHeight="11.25" customHeight="1" x14ac:dyDescent="0.2"/>
  <cols>
    <col min="1" max="1" width="35.109375" style="14" bestFit="1" customWidth="1"/>
    <col min="2" max="2" width="19.88671875" style="39" bestFit="1" customWidth="1"/>
    <col min="3" max="3" width="21.21875" style="39" bestFit="1" customWidth="1"/>
    <col min="4" max="4" width="19.77734375" style="39" bestFit="1" customWidth="1"/>
    <col min="5" max="5" width="21.109375" style="39" bestFit="1" customWidth="1"/>
    <col min="6" max="6" width="14.44140625" style="39" bestFit="1" customWidth="1"/>
    <col min="7" max="7" width="14.33203125" style="39" bestFit="1" customWidth="1"/>
    <col min="8" max="16384" width="8.88671875" style="14"/>
  </cols>
  <sheetData>
    <row r="1" spans="1:7" ht="11.25" customHeight="1" x14ac:dyDescent="0.2">
      <c r="A1" s="38" t="s">
        <v>581</v>
      </c>
      <c r="B1" s="39" t="s">
        <v>607</v>
      </c>
      <c r="C1" s="39" t="s">
        <v>608</v>
      </c>
      <c r="D1" s="39" t="s">
        <v>609</v>
      </c>
      <c r="E1" s="39" t="s">
        <v>610</v>
      </c>
      <c r="F1" s="39" t="s">
        <v>611</v>
      </c>
      <c r="G1" s="39" t="s">
        <v>612</v>
      </c>
    </row>
    <row r="2" spans="1:7" ht="11.25" customHeight="1" x14ac:dyDescent="0.2">
      <c r="A2" s="41" t="s">
        <v>597</v>
      </c>
      <c r="B2" s="39">
        <v>36134.748000000014</v>
      </c>
      <c r="C2" s="39">
        <v>99764.684464800026</v>
      </c>
      <c r="D2" s="39">
        <v>39004.183834235744</v>
      </c>
      <c r="E2" s="39">
        <v>135781.28063675007</v>
      </c>
      <c r="F2" s="39">
        <v>135899.43246480005</v>
      </c>
      <c r="G2" s="39">
        <v>174785.46447098581</v>
      </c>
    </row>
    <row r="3" spans="1:7" ht="11.25" customHeight="1" x14ac:dyDescent="0.2">
      <c r="A3" s="42" t="s">
        <v>38</v>
      </c>
      <c r="B3" s="39">
        <v>36134.748000000014</v>
      </c>
      <c r="C3" s="39">
        <v>85028.462221199996</v>
      </c>
      <c r="D3" s="39">
        <v>39004.183834235744</v>
      </c>
      <c r="E3" s="39">
        <v>117085.73249640422</v>
      </c>
      <c r="F3" s="39">
        <v>121163.21022120002</v>
      </c>
      <c r="G3" s="39">
        <v>156089.91633063997</v>
      </c>
    </row>
    <row r="4" spans="1:7" ht="11.25" customHeight="1" x14ac:dyDescent="0.2">
      <c r="A4" s="43" t="s">
        <v>39</v>
      </c>
      <c r="B4" s="39">
        <v>36134.748000000014</v>
      </c>
      <c r="C4" s="39">
        <v>85028.462221199996</v>
      </c>
      <c r="D4" s="39">
        <v>39004.183834235744</v>
      </c>
      <c r="E4" s="39">
        <v>117085.73249640422</v>
      </c>
      <c r="F4" s="39">
        <v>121163.21022120002</v>
      </c>
      <c r="G4" s="39">
        <v>156089.91633063997</v>
      </c>
    </row>
    <row r="5" spans="1:7" ht="11.25" customHeight="1" x14ac:dyDescent="0.2">
      <c r="A5" s="44" t="s">
        <v>47</v>
      </c>
      <c r="B5" s="39">
        <v>36134.748000000014</v>
      </c>
      <c r="C5" s="39">
        <v>85028.462221199996</v>
      </c>
      <c r="D5" s="39">
        <v>39004.183834235744</v>
      </c>
      <c r="E5" s="39">
        <v>117085.73249640422</v>
      </c>
      <c r="F5" s="39">
        <v>121163.21022120002</v>
      </c>
      <c r="G5" s="39">
        <v>156089.91633063997</v>
      </c>
    </row>
    <row r="6" spans="1:7" ht="11.25" customHeight="1" x14ac:dyDescent="0.2">
      <c r="A6" s="45" t="s">
        <v>48</v>
      </c>
      <c r="B6" s="39">
        <v>36134.748000000014</v>
      </c>
      <c r="C6" s="39">
        <v>85028.462221199996</v>
      </c>
      <c r="D6" s="39">
        <v>39004.183834235744</v>
      </c>
      <c r="E6" s="39">
        <v>117085.73249640422</v>
      </c>
      <c r="F6" s="39">
        <v>121163.21022120002</v>
      </c>
      <c r="G6" s="39">
        <v>156089.91633063997</v>
      </c>
    </row>
    <row r="7" spans="1:7" ht="11.25" customHeight="1" x14ac:dyDescent="0.2">
      <c r="A7" s="46" t="s">
        <v>25</v>
      </c>
      <c r="B7" s="39">
        <v>36134.748000000014</v>
      </c>
      <c r="C7" s="39">
        <v>85028.462221199996</v>
      </c>
      <c r="D7" s="39">
        <v>39004.183834235744</v>
      </c>
      <c r="E7" s="39">
        <v>117085.73249640422</v>
      </c>
      <c r="F7" s="39">
        <v>121163.21022120002</v>
      </c>
      <c r="G7" s="39">
        <v>156089.91633063997</v>
      </c>
    </row>
    <row r="8" spans="1:7" ht="11.25" customHeight="1" x14ac:dyDescent="0.2">
      <c r="A8" s="47" t="s">
        <v>25</v>
      </c>
      <c r="B8" s="39">
        <v>36134.748000000014</v>
      </c>
      <c r="C8" s="39">
        <v>85028.462221199996</v>
      </c>
      <c r="D8" s="39">
        <v>39004.183834235744</v>
      </c>
      <c r="E8" s="39">
        <v>117085.73249640422</v>
      </c>
      <c r="F8" s="39">
        <v>121163.21022120002</v>
      </c>
      <c r="G8" s="39">
        <v>156089.91633063997</v>
      </c>
    </row>
    <row r="9" spans="1:7" ht="11.25" customHeight="1" x14ac:dyDescent="0.2">
      <c r="A9" s="48" t="s">
        <v>34</v>
      </c>
      <c r="B9" s="39">
        <v>0</v>
      </c>
      <c r="C9" s="39">
        <v>46795.221583199993</v>
      </c>
      <c r="D9" s="39">
        <v>0</v>
      </c>
      <c r="E9" s="39">
        <v>74460.520883313133</v>
      </c>
      <c r="F9" s="39">
        <v>46795.221583199993</v>
      </c>
      <c r="G9" s="39">
        <v>74460.520883313133</v>
      </c>
    </row>
    <row r="10" spans="1:7" ht="11.25" customHeight="1" x14ac:dyDescent="0.2">
      <c r="A10" s="49">
        <v>44440</v>
      </c>
      <c r="B10" s="39">
        <v>0</v>
      </c>
      <c r="C10" s="39">
        <v>4068.9935327999938</v>
      </c>
      <c r="D10" s="39">
        <v>0</v>
      </c>
      <c r="E10" s="39">
        <v>6474.5794051735611</v>
      </c>
      <c r="F10" s="39">
        <v>4068.9935327999938</v>
      </c>
      <c r="G10" s="39">
        <v>6474.5794051735611</v>
      </c>
    </row>
    <row r="11" spans="1:7" ht="11.25" customHeight="1" x14ac:dyDescent="0.2">
      <c r="A11" s="49">
        <v>44470</v>
      </c>
      <c r="B11" s="39">
        <v>0</v>
      </c>
      <c r="C11" s="39">
        <v>4195.2586919999976</v>
      </c>
      <c r="D11" s="39">
        <v>0</v>
      </c>
      <c r="E11" s="39">
        <v>6675.4924301654564</v>
      </c>
      <c r="F11" s="39">
        <v>4195.2586919999976</v>
      </c>
      <c r="G11" s="39">
        <v>6675.4924301654564</v>
      </c>
    </row>
    <row r="12" spans="1:7" ht="11.25" customHeight="1" x14ac:dyDescent="0.2">
      <c r="A12" s="49">
        <v>44501</v>
      </c>
      <c r="B12" s="39">
        <v>0</v>
      </c>
      <c r="C12" s="39">
        <v>4049.5593983999952</v>
      </c>
      <c r="D12" s="39">
        <v>0</v>
      </c>
      <c r="E12" s="39">
        <v>6443.655825342501</v>
      </c>
      <c r="F12" s="39">
        <v>4049.5593983999952</v>
      </c>
      <c r="G12" s="39">
        <v>6443.655825342501</v>
      </c>
    </row>
    <row r="13" spans="1:7" ht="11.25" customHeight="1" x14ac:dyDescent="0.2">
      <c r="A13" s="49">
        <v>44531</v>
      </c>
      <c r="B13" s="39">
        <v>0</v>
      </c>
      <c r="C13" s="39">
        <v>4162.8936743999966</v>
      </c>
      <c r="D13" s="39">
        <v>0</v>
      </c>
      <c r="E13" s="39">
        <v>6623.993238851468</v>
      </c>
      <c r="F13" s="39">
        <v>4162.8936743999966</v>
      </c>
      <c r="G13" s="39">
        <v>6623.993238851468</v>
      </c>
    </row>
    <row r="14" spans="1:7" ht="11.25" customHeight="1" x14ac:dyDescent="0.2">
      <c r="A14" s="49">
        <v>44562</v>
      </c>
      <c r="B14" s="39">
        <v>0</v>
      </c>
      <c r="C14" s="39">
        <v>3796.8778416000018</v>
      </c>
      <c r="D14" s="39">
        <v>0</v>
      </c>
      <c r="E14" s="39">
        <v>6041.5891249320312</v>
      </c>
      <c r="F14" s="39">
        <v>3796.8778416000018</v>
      </c>
      <c r="G14" s="39">
        <v>6041.5891249320312</v>
      </c>
    </row>
    <row r="15" spans="1:7" ht="11.25" customHeight="1" x14ac:dyDescent="0.2">
      <c r="A15" s="49">
        <v>44593</v>
      </c>
      <c r="B15" s="39">
        <v>0</v>
      </c>
      <c r="C15" s="39">
        <v>3656.9445120000028</v>
      </c>
      <c r="D15" s="39">
        <v>0</v>
      </c>
      <c r="E15" s="39">
        <v>5818.9273176270517</v>
      </c>
      <c r="F15" s="39">
        <v>3656.9445120000028</v>
      </c>
      <c r="G15" s="39">
        <v>5818.9273176270517</v>
      </c>
    </row>
    <row r="16" spans="1:7" ht="11.25" customHeight="1" x14ac:dyDescent="0.2">
      <c r="A16" s="49">
        <v>44621</v>
      </c>
      <c r="B16" s="39">
        <v>0</v>
      </c>
      <c r="C16" s="39">
        <v>3598.6042992000039</v>
      </c>
      <c r="D16" s="39">
        <v>0</v>
      </c>
      <c r="E16" s="39">
        <v>5726.096415527194</v>
      </c>
      <c r="F16" s="39">
        <v>3598.6042992000039</v>
      </c>
      <c r="G16" s="39">
        <v>5726.096415527194</v>
      </c>
    </row>
    <row r="17" spans="1:7" ht="11.25" customHeight="1" x14ac:dyDescent="0.2">
      <c r="A17" s="49">
        <v>44652</v>
      </c>
      <c r="B17" s="39">
        <v>0</v>
      </c>
      <c r="C17" s="39">
        <v>3540.8123255999999</v>
      </c>
      <c r="D17" s="39">
        <v>0</v>
      </c>
      <c r="E17" s="39">
        <v>5634.1378712241167</v>
      </c>
      <c r="F17" s="39">
        <v>3540.8123255999999</v>
      </c>
      <c r="G17" s="39">
        <v>5634.1378712241167</v>
      </c>
    </row>
    <row r="18" spans="1:7" ht="11.25" customHeight="1" x14ac:dyDescent="0.2">
      <c r="A18" s="49">
        <v>44682</v>
      </c>
      <c r="B18" s="39">
        <v>0</v>
      </c>
      <c r="C18" s="39">
        <v>3896.8275191999992</v>
      </c>
      <c r="D18" s="39">
        <v>0</v>
      </c>
      <c r="E18" s="39">
        <v>6200.6289756779661</v>
      </c>
      <c r="F18" s="39">
        <v>3896.8275191999992</v>
      </c>
      <c r="G18" s="39">
        <v>6200.6289756779661</v>
      </c>
    </row>
    <row r="19" spans="1:7" ht="11.25" customHeight="1" x14ac:dyDescent="0.2">
      <c r="A19" s="49">
        <v>44713</v>
      </c>
      <c r="B19" s="39">
        <v>0</v>
      </c>
      <c r="C19" s="39">
        <v>3747.8955048000007</v>
      </c>
      <c r="D19" s="39">
        <v>0</v>
      </c>
      <c r="E19" s="39">
        <v>5963.6484679842852</v>
      </c>
      <c r="F19" s="39">
        <v>3747.8955048000007</v>
      </c>
      <c r="G19" s="39">
        <v>5963.6484679842852</v>
      </c>
    </row>
    <row r="20" spans="1:7" ht="11.25" customHeight="1" x14ac:dyDescent="0.2">
      <c r="A20" s="49">
        <v>44743</v>
      </c>
      <c r="B20" s="39">
        <v>0</v>
      </c>
      <c r="C20" s="39">
        <v>4080.1095552000033</v>
      </c>
      <c r="D20" s="39">
        <v>0</v>
      </c>
      <c r="E20" s="39">
        <v>6492.2672115360892</v>
      </c>
      <c r="F20" s="39">
        <v>4080.1095552000033</v>
      </c>
      <c r="G20" s="39">
        <v>6492.2672115360892</v>
      </c>
    </row>
    <row r="21" spans="1:7" ht="11.25" customHeight="1" x14ac:dyDescent="0.2">
      <c r="A21" s="49">
        <v>44774</v>
      </c>
      <c r="B21" s="39">
        <v>0</v>
      </c>
      <c r="C21" s="39">
        <v>4000.4447280000059</v>
      </c>
      <c r="D21" s="39">
        <v>0</v>
      </c>
      <c r="E21" s="39">
        <v>6365.5045992714095</v>
      </c>
      <c r="F21" s="39">
        <v>4000.4447280000059</v>
      </c>
      <c r="G21" s="39">
        <v>6365.5045992714095</v>
      </c>
    </row>
    <row r="22" spans="1:7" ht="11.25" customHeight="1" x14ac:dyDescent="0.2">
      <c r="A22" s="48" t="s">
        <v>25</v>
      </c>
      <c r="B22" s="39">
        <v>36134.748000000014</v>
      </c>
      <c r="C22" s="39">
        <v>0</v>
      </c>
      <c r="D22" s="39">
        <v>39004.183834235744</v>
      </c>
      <c r="E22" s="39">
        <v>0</v>
      </c>
      <c r="F22" s="39">
        <v>36134.748000000014</v>
      </c>
      <c r="G22" s="39">
        <v>39004.183834235744</v>
      </c>
    </row>
    <row r="23" spans="1:7" ht="11.25" customHeight="1" x14ac:dyDescent="0.2">
      <c r="A23" s="49">
        <v>44440</v>
      </c>
      <c r="B23" s="39">
        <v>4055.2559999999994</v>
      </c>
      <c r="C23" s="39">
        <v>0</v>
      </c>
      <c r="D23" s="39">
        <v>4377.2811289257497</v>
      </c>
      <c r="E23" s="39">
        <v>0</v>
      </c>
      <c r="F23" s="39">
        <v>4055.2559999999994</v>
      </c>
      <c r="G23" s="39">
        <v>4377.2811289257497</v>
      </c>
    </row>
    <row r="24" spans="1:7" ht="11.25" customHeight="1" x14ac:dyDescent="0.2">
      <c r="A24" s="49">
        <v>44470</v>
      </c>
      <c r="B24" s="39">
        <v>4055.2559999999994</v>
      </c>
      <c r="C24" s="39">
        <v>0</v>
      </c>
      <c r="D24" s="39">
        <v>4377.2811289257497</v>
      </c>
      <c r="E24" s="39">
        <v>0</v>
      </c>
      <c r="F24" s="39">
        <v>4055.2559999999994</v>
      </c>
      <c r="G24" s="39">
        <v>4377.2811289257497</v>
      </c>
    </row>
    <row r="25" spans="1:7" ht="11.25" customHeight="1" x14ac:dyDescent="0.2">
      <c r="A25" s="49">
        <v>44501</v>
      </c>
      <c r="B25" s="39">
        <v>4055.2559999999994</v>
      </c>
      <c r="C25" s="39">
        <v>0</v>
      </c>
      <c r="D25" s="39">
        <v>4377.2811289257497</v>
      </c>
      <c r="E25" s="39">
        <v>0</v>
      </c>
      <c r="F25" s="39">
        <v>4055.2559999999994</v>
      </c>
      <c r="G25" s="39">
        <v>4377.2811289257497</v>
      </c>
    </row>
    <row r="26" spans="1:7" ht="11.25" customHeight="1" x14ac:dyDescent="0.2">
      <c r="A26" s="49">
        <v>44531</v>
      </c>
      <c r="B26" s="39">
        <v>4055.2559999999994</v>
      </c>
      <c r="C26" s="39">
        <v>0</v>
      </c>
      <c r="D26" s="39">
        <v>4377.2811289257497</v>
      </c>
      <c r="E26" s="39">
        <v>0</v>
      </c>
      <c r="F26" s="39">
        <v>4055.2559999999994</v>
      </c>
      <c r="G26" s="39">
        <v>4377.2811289257497</v>
      </c>
    </row>
    <row r="27" spans="1:7" ht="11.25" customHeight="1" x14ac:dyDescent="0.2">
      <c r="A27" s="49">
        <v>44562</v>
      </c>
      <c r="B27" s="39">
        <v>2488.6560000000009</v>
      </c>
      <c r="C27" s="39">
        <v>0</v>
      </c>
      <c r="D27" s="39">
        <v>2686.2784853010135</v>
      </c>
      <c r="E27" s="39">
        <v>0</v>
      </c>
      <c r="F27" s="39">
        <v>2488.6560000000009</v>
      </c>
      <c r="G27" s="39">
        <v>2686.2784853010135</v>
      </c>
    </row>
    <row r="28" spans="1:7" ht="11.25" customHeight="1" x14ac:dyDescent="0.2">
      <c r="A28" s="49">
        <v>44593</v>
      </c>
      <c r="B28" s="39">
        <v>2488.6560000000009</v>
      </c>
      <c r="C28" s="39">
        <v>0</v>
      </c>
      <c r="D28" s="39">
        <v>2686.2784853010135</v>
      </c>
      <c r="E28" s="39">
        <v>0</v>
      </c>
      <c r="F28" s="39">
        <v>2488.6560000000009</v>
      </c>
      <c r="G28" s="39">
        <v>2686.2784853010135</v>
      </c>
    </row>
    <row r="29" spans="1:7" ht="11.25" customHeight="1" x14ac:dyDescent="0.2">
      <c r="A29" s="49">
        <v>44621</v>
      </c>
      <c r="B29" s="39">
        <v>2488.6560000000009</v>
      </c>
      <c r="C29" s="39">
        <v>0</v>
      </c>
      <c r="D29" s="39">
        <v>2686.2784853010135</v>
      </c>
      <c r="E29" s="39">
        <v>0</v>
      </c>
      <c r="F29" s="39">
        <v>2488.6560000000009</v>
      </c>
      <c r="G29" s="39">
        <v>2686.2784853010135</v>
      </c>
    </row>
    <row r="30" spans="1:7" ht="11.25" customHeight="1" x14ac:dyDescent="0.2">
      <c r="A30" s="49">
        <v>44652</v>
      </c>
      <c r="B30" s="39">
        <v>2488.6560000000009</v>
      </c>
      <c r="C30" s="39">
        <v>0</v>
      </c>
      <c r="D30" s="39">
        <v>2686.2784853010135</v>
      </c>
      <c r="E30" s="39">
        <v>0</v>
      </c>
      <c r="F30" s="39">
        <v>2488.6560000000009</v>
      </c>
      <c r="G30" s="39">
        <v>2686.2784853010135</v>
      </c>
    </row>
    <row r="31" spans="1:7" ht="11.25" customHeight="1" x14ac:dyDescent="0.2">
      <c r="A31" s="49">
        <v>44682</v>
      </c>
      <c r="B31" s="39">
        <v>2488.6560000000009</v>
      </c>
      <c r="C31" s="39">
        <v>0</v>
      </c>
      <c r="D31" s="39">
        <v>2686.2784853010135</v>
      </c>
      <c r="E31" s="39">
        <v>0</v>
      </c>
      <c r="F31" s="39">
        <v>2488.6560000000009</v>
      </c>
      <c r="G31" s="39">
        <v>2686.2784853010135</v>
      </c>
    </row>
    <row r="32" spans="1:7" ht="11.25" customHeight="1" x14ac:dyDescent="0.2">
      <c r="A32" s="49">
        <v>44713</v>
      </c>
      <c r="B32" s="39">
        <v>2488.6560000000009</v>
      </c>
      <c r="C32" s="39">
        <v>0</v>
      </c>
      <c r="D32" s="39">
        <v>2686.2784853010135</v>
      </c>
      <c r="E32" s="39">
        <v>0</v>
      </c>
      <c r="F32" s="39">
        <v>2488.6560000000009</v>
      </c>
      <c r="G32" s="39">
        <v>2686.2784853010135</v>
      </c>
    </row>
    <row r="33" spans="1:7" ht="11.25" customHeight="1" x14ac:dyDescent="0.2">
      <c r="A33" s="49">
        <v>44743</v>
      </c>
      <c r="B33" s="39">
        <v>2493.1320000000005</v>
      </c>
      <c r="C33" s="39">
        <v>0</v>
      </c>
      <c r="D33" s="39">
        <v>2691.1099214256546</v>
      </c>
      <c r="E33" s="39">
        <v>0</v>
      </c>
      <c r="F33" s="39">
        <v>2493.1320000000005</v>
      </c>
      <c r="G33" s="39">
        <v>2691.1099214256546</v>
      </c>
    </row>
    <row r="34" spans="1:7" ht="11.25" customHeight="1" x14ac:dyDescent="0.2">
      <c r="A34" s="49">
        <v>44774</v>
      </c>
      <c r="B34" s="39">
        <v>2488.6560000000009</v>
      </c>
      <c r="C34" s="39">
        <v>0</v>
      </c>
      <c r="D34" s="39">
        <v>2686.2784853010135</v>
      </c>
      <c r="E34" s="39">
        <v>0</v>
      </c>
      <c r="F34" s="39">
        <v>2488.6560000000009</v>
      </c>
      <c r="G34" s="39">
        <v>2686.2784853010135</v>
      </c>
    </row>
    <row r="35" spans="1:7" ht="11.25" customHeight="1" x14ac:dyDescent="0.2">
      <c r="A35" s="48" t="s">
        <v>40</v>
      </c>
      <c r="B35" s="39">
        <v>0</v>
      </c>
      <c r="C35" s="39">
        <v>38233.240638000017</v>
      </c>
      <c r="D35" s="39">
        <v>0</v>
      </c>
      <c r="E35" s="39">
        <v>42625.211613091087</v>
      </c>
      <c r="F35" s="39">
        <v>38233.240638000017</v>
      </c>
      <c r="G35" s="39">
        <v>42625.211613091087</v>
      </c>
    </row>
    <row r="36" spans="1:7" ht="11.25" customHeight="1" x14ac:dyDescent="0.2">
      <c r="A36" s="49">
        <v>44440</v>
      </c>
      <c r="B36" s="39">
        <v>0</v>
      </c>
      <c r="C36" s="39">
        <v>3307.3759260000043</v>
      </c>
      <c r="D36" s="39">
        <v>0</v>
      </c>
      <c r="E36" s="39">
        <v>3687.3044601318907</v>
      </c>
      <c r="F36" s="39">
        <v>3307.3759260000043</v>
      </c>
      <c r="G36" s="39">
        <v>3687.3044601318907</v>
      </c>
    </row>
    <row r="37" spans="1:7" ht="11.25" customHeight="1" x14ac:dyDescent="0.2">
      <c r="A37" s="49">
        <v>44470</v>
      </c>
      <c r="B37" s="39">
        <v>0</v>
      </c>
      <c r="C37" s="39">
        <v>3120.9433860000031</v>
      </c>
      <c r="D37" s="39">
        <v>0</v>
      </c>
      <c r="E37" s="39">
        <v>3479.4558358337999</v>
      </c>
      <c r="F37" s="39">
        <v>3120.9433860000031</v>
      </c>
      <c r="G37" s="39">
        <v>3479.4558358337999</v>
      </c>
    </row>
    <row r="38" spans="1:7" ht="11.25" customHeight="1" x14ac:dyDescent="0.2">
      <c r="A38" s="49">
        <v>44501</v>
      </c>
      <c r="B38" s="39">
        <v>0</v>
      </c>
      <c r="C38" s="39">
        <v>3075.9802439999985</v>
      </c>
      <c r="D38" s="39">
        <v>0</v>
      </c>
      <c r="E38" s="39">
        <v>3429.3276382089621</v>
      </c>
      <c r="F38" s="39">
        <v>3075.9802439999985</v>
      </c>
      <c r="G38" s="39">
        <v>3429.3276382089621</v>
      </c>
    </row>
    <row r="39" spans="1:7" ht="11.25" customHeight="1" x14ac:dyDescent="0.2">
      <c r="A39" s="49">
        <v>44531</v>
      </c>
      <c r="B39" s="39">
        <v>0</v>
      </c>
      <c r="C39" s="39">
        <v>3560.3915159999988</v>
      </c>
      <c r="D39" s="39">
        <v>0</v>
      </c>
      <c r="E39" s="39">
        <v>3969.3847359650044</v>
      </c>
      <c r="F39" s="39">
        <v>3560.3915159999988</v>
      </c>
      <c r="G39" s="39">
        <v>3969.3847359650044</v>
      </c>
    </row>
    <row r="40" spans="1:7" ht="11.25" customHeight="1" x14ac:dyDescent="0.2">
      <c r="A40" s="49">
        <v>44562</v>
      </c>
      <c r="B40" s="39">
        <v>0</v>
      </c>
      <c r="C40" s="39">
        <v>3080.6802240000061</v>
      </c>
      <c r="D40" s="39">
        <v>0</v>
      </c>
      <c r="E40" s="39">
        <v>3434.5675194937962</v>
      </c>
      <c r="F40" s="39">
        <v>3080.6802240000061</v>
      </c>
      <c r="G40" s="39">
        <v>3434.5675194937962</v>
      </c>
    </row>
    <row r="41" spans="1:7" ht="11.25" customHeight="1" x14ac:dyDescent="0.2">
      <c r="A41" s="49">
        <v>44593</v>
      </c>
      <c r="B41" s="39">
        <v>0</v>
      </c>
      <c r="C41" s="39">
        <v>2909.914284000005</v>
      </c>
      <c r="D41" s="39">
        <v>0</v>
      </c>
      <c r="E41" s="39">
        <v>3244.185166145126</v>
      </c>
      <c r="F41" s="39">
        <v>2909.914284000005</v>
      </c>
      <c r="G41" s="39">
        <v>3244.185166145126</v>
      </c>
    </row>
    <row r="42" spans="1:7" ht="11.25" customHeight="1" x14ac:dyDescent="0.2">
      <c r="A42" s="49">
        <v>44621</v>
      </c>
      <c r="B42" s="39">
        <v>0</v>
      </c>
      <c r="C42" s="39">
        <v>3226.0662719999937</v>
      </c>
      <c r="D42" s="39">
        <v>0</v>
      </c>
      <c r="E42" s="39">
        <v>3596.6545139043928</v>
      </c>
      <c r="F42" s="39">
        <v>3226.0662719999937</v>
      </c>
      <c r="G42" s="39">
        <v>3596.6545139043928</v>
      </c>
    </row>
    <row r="43" spans="1:7" ht="11.25" customHeight="1" x14ac:dyDescent="0.2">
      <c r="A43" s="49">
        <v>44652</v>
      </c>
      <c r="B43" s="39">
        <v>0</v>
      </c>
      <c r="C43" s="39">
        <v>2880.1477440000003</v>
      </c>
      <c r="D43" s="39">
        <v>0</v>
      </c>
      <c r="E43" s="39">
        <v>3210.999251341224</v>
      </c>
      <c r="F43" s="39">
        <v>2880.1477440000003</v>
      </c>
      <c r="G43" s="39">
        <v>3210.999251341224</v>
      </c>
    </row>
    <row r="44" spans="1:7" ht="11.25" customHeight="1" x14ac:dyDescent="0.2">
      <c r="A44" s="49">
        <v>44682</v>
      </c>
      <c r="B44" s="39">
        <v>0</v>
      </c>
      <c r="C44" s="39">
        <v>3238.5995520000015</v>
      </c>
      <c r="D44" s="39">
        <v>0</v>
      </c>
      <c r="E44" s="39">
        <v>3610.6275306639368</v>
      </c>
      <c r="F44" s="39">
        <v>3238.5995520000015</v>
      </c>
      <c r="G44" s="39">
        <v>3610.6275306639368</v>
      </c>
    </row>
    <row r="45" spans="1:7" ht="11.25" customHeight="1" x14ac:dyDescent="0.2">
      <c r="A45" s="49">
        <v>44713</v>
      </c>
      <c r="B45" s="39">
        <v>0</v>
      </c>
      <c r="C45" s="39">
        <v>3283.5626939999966</v>
      </c>
      <c r="D45" s="39">
        <v>0</v>
      </c>
      <c r="E45" s="39">
        <v>3660.7557282887647</v>
      </c>
      <c r="F45" s="39">
        <v>3283.5626939999966</v>
      </c>
      <c r="G45" s="39">
        <v>3660.7557282887647</v>
      </c>
    </row>
    <row r="46" spans="1:7" ht="11.25" customHeight="1" x14ac:dyDescent="0.2">
      <c r="A46" s="49">
        <v>44743</v>
      </c>
      <c r="B46" s="39">
        <v>0</v>
      </c>
      <c r="C46" s="39">
        <v>3150.0832619999946</v>
      </c>
      <c r="D46" s="39">
        <v>0</v>
      </c>
      <c r="E46" s="39">
        <v>3511.9430997997106</v>
      </c>
      <c r="F46" s="39">
        <v>3150.0832619999946</v>
      </c>
      <c r="G46" s="39">
        <v>3511.9430997997106</v>
      </c>
    </row>
    <row r="47" spans="1:7" ht="11.25" customHeight="1" x14ac:dyDescent="0.2">
      <c r="A47" s="49">
        <v>44774</v>
      </c>
      <c r="B47" s="39">
        <v>0</v>
      </c>
      <c r="C47" s="39">
        <v>3399.4955340000051</v>
      </c>
      <c r="D47" s="39">
        <v>0</v>
      </c>
      <c r="E47" s="39">
        <v>3790.0061333144758</v>
      </c>
      <c r="F47" s="39">
        <v>3399.4955340000051</v>
      </c>
      <c r="G47" s="39">
        <v>3790.0061333144758</v>
      </c>
    </row>
    <row r="48" spans="1:7" ht="11.25" customHeight="1" x14ac:dyDescent="0.2">
      <c r="A48" s="42" t="s">
        <v>36</v>
      </c>
      <c r="B48" s="39">
        <v>0</v>
      </c>
      <c r="C48" s="39">
        <v>14736.222243600008</v>
      </c>
      <c r="D48" s="39">
        <v>0</v>
      </c>
      <c r="E48" s="39">
        <v>18695.54814034588</v>
      </c>
      <c r="F48" s="39">
        <v>14736.222243600008</v>
      </c>
      <c r="G48" s="39">
        <v>18695.54814034588</v>
      </c>
    </row>
    <row r="49" spans="1:7" ht="11.25" customHeight="1" x14ac:dyDescent="0.2">
      <c r="A49" s="43" t="s">
        <v>23</v>
      </c>
      <c r="B49" s="39">
        <v>0</v>
      </c>
      <c r="C49" s="39">
        <v>14736.222243600008</v>
      </c>
      <c r="D49" s="39">
        <v>0</v>
      </c>
      <c r="E49" s="39">
        <v>18695.54814034588</v>
      </c>
      <c r="F49" s="39">
        <v>14736.222243600008</v>
      </c>
      <c r="G49" s="39">
        <v>18695.54814034588</v>
      </c>
    </row>
    <row r="50" spans="1:7" ht="11.25" customHeight="1" x14ac:dyDescent="0.2">
      <c r="A50" s="44" t="s">
        <v>47</v>
      </c>
      <c r="B50" s="39">
        <v>0</v>
      </c>
      <c r="C50" s="39">
        <v>14736.222243600008</v>
      </c>
      <c r="D50" s="39">
        <v>0</v>
      </c>
      <c r="E50" s="39">
        <v>18695.54814034588</v>
      </c>
      <c r="F50" s="39">
        <v>14736.222243600008</v>
      </c>
      <c r="G50" s="39">
        <v>18695.54814034588</v>
      </c>
    </row>
    <row r="51" spans="1:7" ht="11.25" customHeight="1" x14ac:dyDescent="0.2">
      <c r="A51" s="45" t="s">
        <v>48</v>
      </c>
      <c r="B51" s="39">
        <v>0</v>
      </c>
      <c r="C51" s="39">
        <v>14736.222243600008</v>
      </c>
      <c r="D51" s="39">
        <v>0</v>
      </c>
      <c r="E51" s="39">
        <v>18695.54814034588</v>
      </c>
      <c r="F51" s="39">
        <v>14736.222243600008</v>
      </c>
      <c r="G51" s="39">
        <v>18695.54814034588</v>
      </c>
    </row>
    <row r="52" spans="1:7" ht="11.25" customHeight="1" x14ac:dyDescent="0.2">
      <c r="A52" s="46" t="s">
        <v>25</v>
      </c>
      <c r="B52" s="39">
        <v>0</v>
      </c>
      <c r="C52" s="39">
        <v>14736.222243600008</v>
      </c>
      <c r="D52" s="39">
        <v>0</v>
      </c>
      <c r="E52" s="39">
        <v>18695.54814034588</v>
      </c>
      <c r="F52" s="39">
        <v>14736.222243600008</v>
      </c>
      <c r="G52" s="39">
        <v>18695.54814034588</v>
      </c>
    </row>
    <row r="53" spans="1:7" ht="11.25" customHeight="1" x14ac:dyDescent="0.2">
      <c r="A53" s="47" t="s">
        <v>25</v>
      </c>
      <c r="B53" s="39">
        <v>0</v>
      </c>
      <c r="C53" s="39">
        <v>14736.222243600008</v>
      </c>
      <c r="D53" s="39">
        <v>0</v>
      </c>
      <c r="E53" s="39">
        <v>18695.54814034588</v>
      </c>
      <c r="F53" s="39">
        <v>14736.222243600008</v>
      </c>
      <c r="G53" s="39">
        <v>18695.54814034588</v>
      </c>
    </row>
    <row r="54" spans="1:7" ht="11.25" customHeight="1" x14ac:dyDescent="0.2">
      <c r="A54" s="48" t="s">
        <v>25</v>
      </c>
      <c r="B54" s="39">
        <v>0</v>
      </c>
      <c r="C54" s="39">
        <v>14736.222243600008</v>
      </c>
      <c r="D54" s="39">
        <v>0</v>
      </c>
      <c r="E54" s="39">
        <v>18695.54814034588</v>
      </c>
      <c r="F54" s="39">
        <v>14736.222243600008</v>
      </c>
      <c r="G54" s="39">
        <v>18695.54814034588</v>
      </c>
    </row>
    <row r="55" spans="1:7" ht="11.25" customHeight="1" x14ac:dyDescent="0.2">
      <c r="A55" s="49">
        <v>44440</v>
      </c>
      <c r="B55" s="39">
        <v>0</v>
      </c>
      <c r="C55" s="39">
        <v>1035.9809856000011</v>
      </c>
      <c r="D55" s="39">
        <v>0</v>
      </c>
      <c r="E55" s="39">
        <v>1314.3281954219633</v>
      </c>
      <c r="F55" s="39">
        <v>1035.9809856000011</v>
      </c>
      <c r="G55" s="39">
        <v>1314.3281954219633</v>
      </c>
    </row>
    <row r="56" spans="1:7" ht="11.25" customHeight="1" x14ac:dyDescent="0.2">
      <c r="A56" s="49">
        <v>44470</v>
      </c>
      <c r="B56" s="39">
        <v>0</v>
      </c>
      <c r="C56" s="39">
        <v>1157.1901044000019</v>
      </c>
      <c r="D56" s="39">
        <v>0</v>
      </c>
      <c r="E56" s="39">
        <v>1468.1037613787321</v>
      </c>
      <c r="F56" s="39">
        <v>1157.1901044000019</v>
      </c>
      <c r="G56" s="39">
        <v>1468.1037613787321</v>
      </c>
    </row>
    <row r="57" spans="1:7" ht="11.25" customHeight="1" x14ac:dyDescent="0.2">
      <c r="A57" s="49">
        <v>44501</v>
      </c>
      <c r="B57" s="39">
        <v>0</v>
      </c>
      <c r="C57" s="39">
        <v>1104.7919850000005</v>
      </c>
      <c r="D57" s="39">
        <v>0</v>
      </c>
      <c r="E57" s="39">
        <v>1401.6273234211162</v>
      </c>
      <c r="F57" s="39">
        <v>1104.7919850000005</v>
      </c>
      <c r="G57" s="39">
        <v>1401.6273234211162</v>
      </c>
    </row>
    <row r="58" spans="1:7" ht="11.25" customHeight="1" x14ac:dyDescent="0.2">
      <c r="A58" s="49">
        <v>44531</v>
      </c>
      <c r="B58" s="39">
        <v>0</v>
      </c>
      <c r="C58" s="39">
        <v>1129.7395626000011</v>
      </c>
      <c r="D58" s="39">
        <v>0</v>
      </c>
      <c r="E58" s="39">
        <v>1433.2778122842569</v>
      </c>
      <c r="F58" s="39">
        <v>1129.7395626000011</v>
      </c>
      <c r="G58" s="39">
        <v>1433.2778122842569</v>
      </c>
    </row>
    <row r="59" spans="1:7" ht="11.25" customHeight="1" x14ac:dyDescent="0.2">
      <c r="A59" s="49">
        <v>44562</v>
      </c>
      <c r="B59" s="39">
        <v>0</v>
      </c>
      <c r="C59" s="39">
        <v>1557.8285052000001</v>
      </c>
      <c r="D59" s="39">
        <v>0</v>
      </c>
      <c r="E59" s="39">
        <v>1976.3856252927046</v>
      </c>
      <c r="F59" s="39">
        <v>1557.8285052000001</v>
      </c>
      <c r="G59" s="39">
        <v>1976.3856252927046</v>
      </c>
    </row>
    <row r="60" spans="1:7" ht="11.25" customHeight="1" x14ac:dyDescent="0.2">
      <c r="A60" s="49">
        <v>44593</v>
      </c>
      <c r="B60" s="39">
        <v>0</v>
      </c>
      <c r="C60" s="39">
        <v>1239.3365687999994</v>
      </c>
      <c r="D60" s="39">
        <v>0</v>
      </c>
      <c r="E60" s="39">
        <v>1572.3213250366334</v>
      </c>
      <c r="F60" s="39">
        <v>1239.3365687999994</v>
      </c>
      <c r="G60" s="39">
        <v>1572.3213250366334</v>
      </c>
    </row>
    <row r="61" spans="1:7" ht="11.25" customHeight="1" x14ac:dyDescent="0.2">
      <c r="A61" s="49">
        <v>44621</v>
      </c>
      <c r="B61" s="39">
        <v>0</v>
      </c>
      <c r="C61" s="39">
        <v>999.83161740000173</v>
      </c>
      <c r="D61" s="39">
        <v>0</v>
      </c>
      <c r="E61" s="39">
        <v>1268.4662206054736</v>
      </c>
      <c r="F61" s="39">
        <v>999.83161740000173</v>
      </c>
      <c r="G61" s="39">
        <v>1268.4662206054736</v>
      </c>
    </row>
    <row r="62" spans="1:7" ht="11.25" customHeight="1" x14ac:dyDescent="0.2">
      <c r="A62" s="49">
        <v>44652</v>
      </c>
      <c r="B62" s="39">
        <v>0</v>
      </c>
      <c r="C62" s="39">
        <v>1713.9149939999998</v>
      </c>
      <c r="D62" s="39">
        <v>0</v>
      </c>
      <c r="E62" s="39">
        <v>2174.4094075877433</v>
      </c>
      <c r="F62" s="39">
        <v>1713.9149939999998</v>
      </c>
      <c r="G62" s="39">
        <v>2174.4094075877433</v>
      </c>
    </row>
    <row r="63" spans="1:7" ht="11.25" customHeight="1" x14ac:dyDescent="0.2">
      <c r="A63" s="49">
        <v>44682</v>
      </c>
      <c r="B63" s="39">
        <v>0</v>
      </c>
      <c r="C63" s="39">
        <v>1549.0886466000006</v>
      </c>
      <c r="D63" s="39">
        <v>0</v>
      </c>
      <c r="E63" s="39">
        <v>1965.2975428455857</v>
      </c>
      <c r="F63" s="39">
        <v>1549.0886466000006</v>
      </c>
      <c r="G63" s="39">
        <v>1965.2975428455857</v>
      </c>
    </row>
    <row r="64" spans="1:7" ht="11.25" customHeight="1" x14ac:dyDescent="0.2">
      <c r="A64" s="49">
        <v>44713</v>
      </c>
      <c r="B64" s="39">
        <v>0</v>
      </c>
      <c r="C64" s="39">
        <v>858.02433420000079</v>
      </c>
      <c r="D64" s="39">
        <v>0</v>
      </c>
      <c r="E64" s="39">
        <v>1088.5581786465727</v>
      </c>
      <c r="F64" s="39">
        <v>858.02433420000079</v>
      </c>
      <c r="G64" s="39">
        <v>1088.5581786465727</v>
      </c>
    </row>
    <row r="65" spans="1:7" ht="11.25" customHeight="1" x14ac:dyDescent="0.2">
      <c r="A65" s="49">
        <v>44743</v>
      </c>
      <c r="B65" s="39">
        <v>0</v>
      </c>
      <c r="C65" s="39">
        <v>1189.4003813999998</v>
      </c>
      <c r="D65" s="39">
        <v>0</v>
      </c>
      <c r="E65" s="39">
        <v>1508.9682905852501</v>
      </c>
      <c r="F65" s="39">
        <v>1189.4003813999998</v>
      </c>
      <c r="G65" s="39">
        <v>1508.9682905852501</v>
      </c>
    </row>
    <row r="66" spans="1:7" ht="11.25" customHeight="1" x14ac:dyDescent="0.2">
      <c r="A66" s="49">
        <v>44774</v>
      </c>
      <c r="B66" s="39">
        <v>0</v>
      </c>
      <c r="C66" s="39">
        <v>1201.0945583999992</v>
      </c>
      <c r="D66" s="39">
        <v>0</v>
      </c>
      <c r="E66" s="39">
        <v>1523.8044572398462</v>
      </c>
      <c r="F66" s="39">
        <v>1201.0945583999992</v>
      </c>
      <c r="G66" s="39">
        <v>1523.8044572398462</v>
      </c>
    </row>
    <row r="67" spans="1:7" ht="11.25" customHeight="1" x14ac:dyDescent="0.2">
      <c r="A67" s="41" t="s">
        <v>598</v>
      </c>
      <c r="B67" s="39">
        <v>0</v>
      </c>
      <c r="C67" s="39">
        <v>50809.152919999993</v>
      </c>
      <c r="D67" s="39">
        <v>0</v>
      </c>
      <c r="E67" s="39">
        <v>63271.360065071247</v>
      </c>
      <c r="F67" s="39">
        <v>50809.15292</v>
      </c>
      <c r="G67" s="39">
        <v>63271.360065071247</v>
      </c>
    </row>
    <row r="68" spans="1:7" ht="11.25" customHeight="1" x14ac:dyDescent="0.2">
      <c r="A68" s="42" t="s">
        <v>22</v>
      </c>
      <c r="B68" s="39">
        <v>0</v>
      </c>
      <c r="C68" s="39">
        <v>50809.152919999993</v>
      </c>
      <c r="D68" s="39">
        <v>0</v>
      </c>
      <c r="E68" s="39">
        <v>63271.360065071247</v>
      </c>
      <c r="F68" s="39">
        <v>50809.15292</v>
      </c>
      <c r="G68" s="39">
        <v>63271.360065071247</v>
      </c>
    </row>
    <row r="69" spans="1:7" ht="11.25" customHeight="1" x14ac:dyDescent="0.2">
      <c r="A69" s="43" t="s">
        <v>23</v>
      </c>
      <c r="B69" s="39">
        <v>0</v>
      </c>
      <c r="C69" s="39">
        <v>50809.152919999993</v>
      </c>
      <c r="D69" s="39">
        <v>0</v>
      </c>
      <c r="E69" s="39">
        <v>63271.360065071247</v>
      </c>
      <c r="F69" s="39">
        <v>50809.15292</v>
      </c>
      <c r="G69" s="39">
        <v>63271.360065071247</v>
      </c>
    </row>
    <row r="70" spans="1:7" ht="11.25" customHeight="1" x14ac:dyDescent="0.2">
      <c r="A70" s="44" t="s">
        <v>24</v>
      </c>
      <c r="B70" s="39">
        <v>0</v>
      </c>
      <c r="C70" s="39">
        <v>50809.152919999993</v>
      </c>
      <c r="D70" s="39">
        <v>0</v>
      </c>
      <c r="E70" s="39">
        <v>63271.360065071247</v>
      </c>
      <c r="F70" s="39">
        <v>50809.15292</v>
      </c>
      <c r="G70" s="39">
        <v>63271.360065071247</v>
      </c>
    </row>
    <row r="71" spans="1:7" ht="11.25" customHeight="1" x14ac:dyDescent="0.2">
      <c r="A71" s="45" t="s">
        <v>29</v>
      </c>
      <c r="B71" s="39">
        <v>0</v>
      </c>
      <c r="C71" s="39">
        <v>20627.13464</v>
      </c>
      <c r="D71" s="39">
        <v>0</v>
      </c>
      <c r="E71" s="39">
        <v>25686.508824084918</v>
      </c>
      <c r="F71" s="39">
        <v>20627.13464</v>
      </c>
      <c r="G71" s="39">
        <v>25686.508824084918</v>
      </c>
    </row>
    <row r="72" spans="1:7" ht="11.25" customHeight="1" x14ac:dyDescent="0.2">
      <c r="A72" s="46" t="s">
        <v>25</v>
      </c>
      <c r="B72" s="39">
        <v>0</v>
      </c>
      <c r="C72" s="39">
        <v>20627.13464</v>
      </c>
      <c r="D72" s="39">
        <v>0</v>
      </c>
      <c r="E72" s="39">
        <v>25686.508824084918</v>
      </c>
      <c r="F72" s="39">
        <v>20627.13464</v>
      </c>
      <c r="G72" s="39">
        <v>25686.508824084918</v>
      </c>
    </row>
    <row r="73" spans="1:7" ht="11.25" customHeight="1" x14ac:dyDescent="0.2">
      <c r="A73" s="47" t="s">
        <v>25</v>
      </c>
      <c r="B73" s="39">
        <v>0</v>
      </c>
      <c r="C73" s="39">
        <v>20627.13464</v>
      </c>
      <c r="D73" s="39">
        <v>0</v>
      </c>
      <c r="E73" s="39">
        <v>25686.508824084918</v>
      </c>
      <c r="F73" s="39">
        <v>20627.13464</v>
      </c>
      <c r="G73" s="39">
        <v>25686.508824084918</v>
      </c>
    </row>
    <row r="74" spans="1:7" ht="11.25" customHeight="1" x14ac:dyDescent="0.2">
      <c r="A74" s="48" t="s">
        <v>25</v>
      </c>
      <c r="B74" s="39">
        <v>0</v>
      </c>
      <c r="C74" s="39">
        <v>20627.13464</v>
      </c>
      <c r="D74" s="39">
        <v>0</v>
      </c>
      <c r="E74" s="39">
        <v>25686.508824084918</v>
      </c>
      <c r="F74" s="39">
        <v>20627.13464</v>
      </c>
      <c r="G74" s="39">
        <v>25686.508824084918</v>
      </c>
    </row>
    <row r="75" spans="1:7" ht="11.25" customHeight="1" x14ac:dyDescent="0.2">
      <c r="A75" s="49">
        <v>44440</v>
      </c>
      <c r="B75" s="39">
        <v>0</v>
      </c>
      <c r="C75" s="39">
        <v>1391.3426999999999</v>
      </c>
      <c r="D75" s="39">
        <v>0</v>
      </c>
      <c r="E75" s="39">
        <v>1732.6079052963478</v>
      </c>
      <c r="F75" s="39">
        <v>1391.3426999999999</v>
      </c>
      <c r="G75" s="39">
        <v>1732.6079052963478</v>
      </c>
    </row>
    <row r="76" spans="1:7" ht="11.25" customHeight="1" x14ac:dyDescent="0.2">
      <c r="A76" s="49">
        <v>44470</v>
      </c>
      <c r="B76" s="39">
        <v>0</v>
      </c>
      <c r="C76" s="39">
        <v>1391.3426999999999</v>
      </c>
      <c r="D76" s="39">
        <v>0</v>
      </c>
      <c r="E76" s="39">
        <v>1732.6079052963478</v>
      </c>
      <c r="F76" s="39">
        <v>1391.3426999999999</v>
      </c>
      <c r="G76" s="39">
        <v>1732.6079052963478</v>
      </c>
    </row>
    <row r="77" spans="1:7" ht="11.25" customHeight="1" x14ac:dyDescent="0.2">
      <c r="A77" s="49">
        <v>44501</v>
      </c>
      <c r="B77" s="39">
        <v>0</v>
      </c>
      <c r="C77" s="39">
        <v>1379.8439999999998</v>
      </c>
      <c r="D77" s="39">
        <v>0</v>
      </c>
      <c r="E77" s="39">
        <v>1718.2888316988574</v>
      </c>
      <c r="F77" s="39">
        <v>1379.8439999999998</v>
      </c>
      <c r="G77" s="39">
        <v>1718.2888316988574</v>
      </c>
    </row>
    <row r="78" spans="1:7" ht="11.25" customHeight="1" x14ac:dyDescent="0.2">
      <c r="A78" s="49">
        <v>44531</v>
      </c>
      <c r="B78" s="39">
        <v>0</v>
      </c>
      <c r="C78" s="39">
        <v>1402.8414</v>
      </c>
      <c r="D78" s="39">
        <v>0</v>
      </c>
      <c r="E78" s="39">
        <v>1746.9269788938382</v>
      </c>
      <c r="F78" s="39">
        <v>1402.8414</v>
      </c>
      <c r="G78" s="39">
        <v>1746.9269788938382</v>
      </c>
    </row>
    <row r="79" spans="1:7" ht="11.25" customHeight="1" x14ac:dyDescent="0.2">
      <c r="A79" s="49">
        <v>44562</v>
      </c>
      <c r="B79" s="39">
        <v>0</v>
      </c>
      <c r="C79" s="39">
        <v>1379.8439999999998</v>
      </c>
      <c r="D79" s="39">
        <v>0</v>
      </c>
      <c r="E79" s="39">
        <v>1718.2888316988574</v>
      </c>
      <c r="F79" s="39">
        <v>1379.8439999999998</v>
      </c>
      <c r="G79" s="39">
        <v>1718.2888316988574</v>
      </c>
    </row>
    <row r="80" spans="1:7" ht="11.25" customHeight="1" x14ac:dyDescent="0.2">
      <c r="A80" s="49">
        <v>44593</v>
      </c>
      <c r="B80" s="39">
        <v>0</v>
      </c>
      <c r="C80" s="39">
        <v>1425.8388</v>
      </c>
      <c r="D80" s="39">
        <v>0</v>
      </c>
      <c r="E80" s="39">
        <v>1775.5651260888192</v>
      </c>
      <c r="F80" s="39">
        <v>1425.8388</v>
      </c>
      <c r="G80" s="39">
        <v>1775.5651260888192</v>
      </c>
    </row>
    <row r="81" spans="1:7" ht="11.25" customHeight="1" x14ac:dyDescent="0.2">
      <c r="A81" s="49">
        <v>44621</v>
      </c>
      <c r="B81" s="39">
        <v>0</v>
      </c>
      <c r="C81" s="39">
        <v>1433.5046</v>
      </c>
      <c r="D81" s="39">
        <v>0</v>
      </c>
      <c r="E81" s="39">
        <v>1785.1111751538128</v>
      </c>
      <c r="F81" s="39">
        <v>1433.5046</v>
      </c>
      <c r="G81" s="39">
        <v>1785.1111751538128</v>
      </c>
    </row>
    <row r="82" spans="1:7" ht="11.25" customHeight="1" x14ac:dyDescent="0.2">
      <c r="A82" s="49">
        <v>44652</v>
      </c>
      <c r="B82" s="39">
        <v>0</v>
      </c>
      <c r="C82" s="39">
        <v>1471.8335999999997</v>
      </c>
      <c r="D82" s="39">
        <v>0</v>
      </c>
      <c r="E82" s="39">
        <v>1832.8414204787809</v>
      </c>
      <c r="F82" s="39">
        <v>1471.8335999999997</v>
      </c>
      <c r="G82" s="39">
        <v>1832.8414204787809</v>
      </c>
    </row>
    <row r="83" spans="1:7" ht="11.25" customHeight="1" x14ac:dyDescent="0.2">
      <c r="A83" s="49">
        <v>44682</v>
      </c>
      <c r="B83" s="39">
        <v>0</v>
      </c>
      <c r="C83" s="39">
        <v>1506.3297</v>
      </c>
      <c r="D83" s="39">
        <v>0</v>
      </c>
      <c r="E83" s="39">
        <v>1875.7986412712526</v>
      </c>
      <c r="F83" s="39">
        <v>1506.3297</v>
      </c>
      <c r="G83" s="39">
        <v>1875.7986412712526</v>
      </c>
    </row>
    <row r="84" spans="1:7" ht="11.25" customHeight="1" x14ac:dyDescent="0.2">
      <c r="A84" s="49">
        <v>44713</v>
      </c>
      <c r="B84" s="39">
        <v>0</v>
      </c>
      <c r="C84" s="39">
        <v>2874.6750000000002</v>
      </c>
      <c r="D84" s="39">
        <v>0</v>
      </c>
      <c r="E84" s="39">
        <v>3579.7683993726191</v>
      </c>
      <c r="F84" s="39">
        <v>2874.6750000000002</v>
      </c>
      <c r="G84" s="39">
        <v>3579.7683993726191</v>
      </c>
    </row>
    <row r="85" spans="1:7" ht="11.25" customHeight="1" x14ac:dyDescent="0.2">
      <c r="A85" s="49">
        <v>44743</v>
      </c>
      <c r="B85" s="39">
        <v>0</v>
      </c>
      <c r="C85" s="39">
        <v>2842.4786399999998</v>
      </c>
      <c r="D85" s="39">
        <v>0</v>
      </c>
      <c r="E85" s="39">
        <v>3539.6749932996463</v>
      </c>
      <c r="F85" s="39">
        <v>2842.4786399999998</v>
      </c>
      <c r="G85" s="39">
        <v>3539.6749932996463</v>
      </c>
    </row>
    <row r="86" spans="1:7" ht="11.25" customHeight="1" x14ac:dyDescent="0.2">
      <c r="A86" s="49">
        <v>44774</v>
      </c>
      <c r="B86" s="39">
        <v>0</v>
      </c>
      <c r="C86" s="39">
        <v>2127.2594999999997</v>
      </c>
      <c r="D86" s="39">
        <v>0</v>
      </c>
      <c r="E86" s="39">
        <v>2649.028615535738</v>
      </c>
      <c r="F86" s="39">
        <v>2127.2594999999997</v>
      </c>
      <c r="G86" s="39">
        <v>2649.028615535738</v>
      </c>
    </row>
    <row r="87" spans="1:7" ht="11.25" customHeight="1" x14ac:dyDescent="0.2">
      <c r="A87" s="45" t="s">
        <v>30</v>
      </c>
      <c r="B87" s="39">
        <v>0</v>
      </c>
      <c r="C87" s="39">
        <v>25204.596459999997</v>
      </c>
      <c r="D87" s="39">
        <v>0</v>
      </c>
      <c r="E87" s="39">
        <v>31386.821876525904</v>
      </c>
      <c r="F87" s="39">
        <v>25204.596459999993</v>
      </c>
      <c r="G87" s="39">
        <v>31386.821876525901</v>
      </c>
    </row>
    <row r="88" spans="1:7" ht="11.25" customHeight="1" x14ac:dyDescent="0.2">
      <c r="A88" s="46" t="s">
        <v>25</v>
      </c>
      <c r="B88" s="39">
        <v>0</v>
      </c>
      <c r="C88" s="39">
        <v>25204.596459999997</v>
      </c>
      <c r="D88" s="39">
        <v>0</v>
      </c>
      <c r="E88" s="39">
        <v>31386.821876525904</v>
      </c>
      <c r="F88" s="39">
        <v>25204.596459999993</v>
      </c>
      <c r="G88" s="39">
        <v>31386.821876525901</v>
      </c>
    </row>
    <row r="89" spans="1:7" ht="11.25" customHeight="1" x14ac:dyDescent="0.2">
      <c r="A89" s="47" t="s">
        <v>25</v>
      </c>
      <c r="B89" s="39">
        <v>0</v>
      </c>
      <c r="C89" s="39">
        <v>25204.596459999997</v>
      </c>
      <c r="D89" s="39">
        <v>0</v>
      </c>
      <c r="E89" s="39">
        <v>31386.821876525904</v>
      </c>
      <c r="F89" s="39">
        <v>25204.596459999993</v>
      </c>
      <c r="G89" s="39">
        <v>31386.821876525901</v>
      </c>
    </row>
    <row r="90" spans="1:7" ht="11.25" customHeight="1" x14ac:dyDescent="0.2">
      <c r="A90" s="48" t="s">
        <v>25</v>
      </c>
      <c r="B90" s="39">
        <v>0</v>
      </c>
      <c r="C90" s="39">
        <v>25204.596459999997</v>
      </c>
      <c r="D90" s="39">
        <v>0</v>
      </c>
      <c r="E90" s="39">
        <v>31386.821876525904</v>
      </c>
      <c r="F90" s="39">
        <v>25204.596459999993</v>
      </c>
      <c r="G90" s="39">
        <v>31386.821876525901</v>
      </c>
    </row>
    <row r="91" spans="1:7" ht="11.25" customHeight="1" x14ac:dyDescent="0.2">
      <c r="A91" s="49">
        <v>44440</v>
      </c>
      <c r="B91" s="39">
        <v>0</v>
      </c>
      <c r="C91" s="39">
        <v>1821.3881399999996</v>
      </c>
      <c r="D91" s="39">
        <v>0</v>
      </c>
      <c r="E91" s="39">
        <v>2268.141257842492</v>
      </c>
      <c r="F91" s="39">
        <v>1821.3881399999996</v>
      </c>
      <c r="G91" s="39">
        <v>2268.141257842492</v>
      </c>
    </row>
    <row r="92" spans="1:7" ht="11.25" customHeight="1" x14ac:dyDescent="0.2">
      <c r="A92" s="49">
        <v>44470</v>
      </c>
      <c r="B92" s="39">
        <v>0</v>
      </c>
      <c r="C92" s="39">
        <v>1756.0521499999995</v>
      </c>
      <c r="D92" s="39">
        <v>0</v>
      </c>
      <c r="E92" s="39">
        <v>2186.7795473500846</v>
      </c>
      <c r="F92" s="39">
        <v>1756.0521499999995</v>
      </c>
      <c r="G92" s="39">
        <v>2186.7795473500846</v>
      </c>
    </row>
    <row r="93" spans="1:7" ht="11.25" customHeight="1" x14ac:dyDescent="0.2">
      <c r="A93" s="49">
        <v>44501</v>
      </c>
      <c r="B93" s="39">
        <v>0</v>
      </c>
      <c r="C93" s="39">
        <v>1764.3075999999994</v>
      </c>
      <c r="D93" s="39">
        <v>0</v>
      </c>
      <c r="E93" s="39">
        <v>2197.0599078816163</v>
      </c>
      <c r="F93" s="39">
        <v>1764.3075999999994</v>
      </c>
      <c r="G93" s="39">
        <v>2197.0599078816163</v>
      </c>
    </row>
    <row r="94" spans="1:7" ht="11.25" customHeight="1" x14ac:dyDescent="0.2">
      <c r="A94" s="49">
        <v>44531</v>
      </c>
      <c r="B94" s="39">
        <v>0</v>
      </c>
      <c r="C94" s="39">
        <v>1830.5870699999994</v>
      </c>
      <c r="D94" s="39">
        <v>0</v>
      </c>
      <c r="E94" s="39">
        <v>2279.5965167204845</v>
      </c>
      <c r="F94" s="39">
        <v>1830.5870699999994</v>
      </c>
      <c r="G94" s="39">
        <v>2279.5965167204845</v>
      </c>
    </row>
    <row r="95" spans="1:7" ht="11.25" customHeight="1" x14ac:dyDescent="0.2">
      <c r="A95" s="49">
        <v>44562</v>
      </c>
      <c r="B95" s="39">
        <v>0</v>
      </c>
      <c r="C95" s="39">
        <v>1838.6066499999993</v>
      </c>
      <c r="D95" s="39">
        <v>0</v>
      </c>
      <c r="E95" s="39">
        <v>2289.5831526654006</v>
      </c>
      <c r="F95" s="39">
        <v>1838.6066499999993</v>
      </c>
      <c r="G95" s="39">
        <v>2289.5831526654006</v>
      </c>
    </row>
    <row r="96" spans="1:7" ht="11.25" customHeight="1" x14ac:dyDescent="0.2">
      <c r="A96" s="49">
        <v>44593</v>
      </c>
      <c r="B96" s="39">
        <v>0</v>
      </c>
      <c r="C96" s="39">
        <v>1891.2056599999996</v>
      </c>
      <c r="D96" s="39">
        <v>0</v>
      </c>
      <c r="E96" s="39">
        <v>2355.0837354805881</v>
      </c>
      <c r="F96" s="39">
        <v>1891.2056599999996</v>
      </c>
      <c r="G96" s="39">
        <v>2355.0837354805881</v>
      </c>
    </row>
    <row r="97" spans="1:7" ht="11.25" customHeight="1" x14ac:dyDescent="0.2">
      <c r="A97" s="49">
        <v>44621</v>
      </c>
      <c r="B97" s="39">
        <v>0</v>
      </c>
      <c r="C97" s="39">
        <v>1910.0752599999996</v>
      </c>
      <c r="D97" s="39">
        <v>0</v>
      </c>
      <c r="E97" s="39">
        <v>2378.5817024098033</v>
      </c>
      <c r="F97" s="39">
        <v>1910.0752599999996</v>
      </c>
      <c r="G97" s="39">
        <v>2378.5817024098033</v>
      </c>
    </row>
    <row r="98" spans="1:7" ht="11.25" customHeight="1" x14ac:dyDescent="0.2">
      <c r="A98" s="49">
        <v>44652</v>
      </c>
      <c r="B98" s="39">
        <v>0</v>
      </c>
      <c r="C98" s="39">
        <v>1981.3079999999993</v>
      </c>
      <c r="D98" s="39">
        <v>0</v>
      </c>
      <c r="E98" s="39">
        <v>2467.2865275675904</v>
      </c>
      <c r="F98" s="39">
        <v>1981.3079999999993</v>
      </c>
      <c r="G98" s="39">
        <v>2467.2865275675904</v>
      </c>
    </row>
    <row r="99" spans="1:7" ht="11.25" customHeight="1" x14ac:dyDescent="0.2">
      <c r="A99" s="49">
        <v>44682</v>
      </c>
      <c r="B99" s="39">
        <v>0</v>
      </c>
      <c r="C99" s="39">
        <v>1919.9817999999996</v>
      </c>
      <c r="D99" s="39">
        <v>0</v>
      </c>
      <c r="E99" s="39">
        <v>2390.918135047641</v>
      </c>
      <c r="F99" s="39">
        <v>1919.9817999999996</v>
      </c>
      <c r="G99" s="39">
        <v>2390.918135047641</v>
      </c>
    </row>
    <row r="100" spans="1:7" ht="11.25" customHeight="1" x14ac:dyDescent="0.2">
      <c r="A100" s="49">
        <v>44713</v>
      </c>
      <c r="B100" s="39">
        <v>0</v>
      </c>
      <c r="C100" s="39">
        <v>3074.0937099999992</v>
      </c>
      <c r="D100" s="39">
        <v>0</v>
      </c>
      <c r="E100" s="39">
        <v>3828.1125373557625</v>
      </c>
      <c r="F100" s="39">
        <v>3074.0937099999992</v>
      </c>
      <c r="G100" s="39">
        <v>3828.1125373557625</v>
      </c>
    </row>
    <row r="101" spans="1:7" ht="11.25" customHeight="1" x14ac:dyDescent="0.2">
      <c r="A101" s="49">
        <v>44743</v>
      </c>
      <c r="B101" s="39">
        <v>0</v>
      </c>
      <c r="C101" s="39">
        <v>2986.1141999999991</v>
      </c>
      <c r="D101" s="39">
        <v>0</v>
      </c>
      <c r="E101" s="39">
        <v>3718.5532665482965</v>
      </c>
      <c r="F101" s="39">
        <v>2986.1141999999991</v>
      </c>
      <c r="G101" s="39">
        <v>3718.5532665482965</v>
      </c>
    </row>
    <row r="102" spans="1:7" ht="11.25" customHeight="1" x14ac:dyDescent="0.2">
      <c r="A102" s="49">
        <v>44774</v>
      </c>
      <c r="B102" s="39">
        <v>0</v>
      </c>
      <c r="C102" s="39">
        <v>2430.8762199999992</v>
      </c>
      <c r="D102" s="39">
        <v>0</v>
      </c>
      <c r="E102" s="39">
        <v>3027.1255896561406</v>
      </c>
      <c r="F102" s="39">
        <v>2430.8762199999992</v>
      </c>
      <c r="G102" s="39">
        <v>3027.1255896561406</v>
      </c>
    </row>
    <row r="103" spans="1:7" ht="11.25" customHeight="1" x14ac:dyDescent="0.2">
      <c r="A103" s="45" t="s">
        <v>31</v>
      </c>
      <c r="B103" s="39">
        <v>0</v>
      </c>
      <c r="C103" s="39">
        <v>4977.4218199999968</v>
      </c>
      <c r="D103" s="39">
        <v>0</v>
      </c>
      <c r="E103" s="39">
        <v>6198.0293644604171</v>
      </c>
      <c r="F103" s="39">
        <v>4977.4218199999968</v>
      </c>
      <c r="G103" s="39">
        <v>6198.0293644604171</v>
      </c>
    </row>
    <row r="104" spans="1:7" ht="11.25" customHeight="1" x14ac:dyDescent="0.2">
      <c r="A104" s="46" t="s">
        <v>25</v>
      </c>
      <c r="B104" s="39">
        <v>0</v>
      </c>
      <c r="C104" s="39">
        <v>4977.4218199999968</v>
      </c>
      <c r="D104" s="39">
        <v>0</v>
      </c>
      <c r="E104" s="39">
        <v>6198.0293644604171</v>
      </c>
      <c r="F104" s="39">
        <v>4977.4218199999968</v>
      </c>
      <c r="G104" s="39">
        <v>6198.0293644604171</v>
      </c>
    </row>
    <row r="105" spans="1:7" ht="11.25" customHeight="1" x14ac:dyDescent="0.2">
      <c r="A105" s="47" t="s">
        <v>25</v>
      </c>
      <c r="B105" s="39">
        <v>0</v>
      </c>
      <c r="C105" s="39">
        <v>4977.4218199999968</v>
      </c>
      <c r="D105" s="39">
        <v>0</v>
      </c>
      <c r="E105" s="39">
        <v>6198.0293644604171</v>
      </c>
      <c r="F105" s="39">
        <v>4977.4218199999968</v>
      </c>
      <c r="G105" s="39">
        <v>6198.0293644604171</v>
      </c>
    </row>
    <row r="106" spans="1:7" ht="11.25" customHeight="1" x14ac:dyDescent="0.2">
      <c r="A106" s="48" t="s">
        <v>25</v>
      </c>
      <c r="B106" s="39">
        <v>0</v>
      </c>
      <c r="C106" s="39">
        <v>4977.4218199999968</v>
      </c>
      <c r="D106" s="39">
        <v>0</v>
      </c>
      <c r="E106" s="39">
        <v>6198.0293644604171</v>
      </c>
      <c r="F106" s="39">
        <v>4977.4218199999968</v>
      </c>
      <c r="G106" s="39">
        <v>6198.0293644604171</v>
      </c>
    </row>
    <row r="107" spans="1:7" ht="11.25" customHeight="1" x14ac:dyDescent="0.2">
      <c r="A107" s="49">
        <v>44440</v>
      </c>
      <c r="B107" s="39">
        <v>0</v>
      </c>
      <c r="C107" s="39">
        <v>430.95275999999978</v>
      </c>
      <c r="D107" s="39">
        <v>0</v>
      </c>
      <c r="E107" s="39">
        <v>536.63481974595084</v>
      </c>
      <c r="F107" s="39">
        <v>430.95275999999978</v>
      </c>
      <c r="G107" s="39">
        <v>536.63481974595084</v>
      </c>
    </row>
    <row r="108" spans="1:7" ht="11.25" customHeight="1" x14ac:dyDescent="0.2">
      <c r="A108" s="49">
        <v>44470</v>
      </c>
      <c r="B108" s="39">
        <v>0</v>
      </c>
      <c r="C108" s="39">
        <v>310.94880999999981</v>
      </c>
      <c r="D108" s="39">
        <v>0</v>
      </c>
      <c r="E108" s="39">
        <v>387.20243630547327</v>
      </c>
      <c r="F108" s="39">
        <v>310.94880999999981</v>
      </c>
      <c r="G108" s="39">
        <v>387.20243630547327</v>
      </c>
    </row>
    <row r="109" spans="1:7" ht="11.25" customHeight="1" x14ac:dyDescent="0.2">
      <c r="A109" s="49">
        <v>44501</v>
      </c>
      <c r="B109" s="39">
        <v>0</v>
      </c>
      <c r="C109" s="39">
        <v>322.15310999999986</v>
      </c>
      <c r="D109" s="39">
        <v>0</v>
      </c>
      <c r="E109" s="39">
        <v>401.15435416969478</v>
      </c>
      <c r="F109" s="39">
        <v>322.15310999999986</v>
      </c>
      <c r="G109" s="39">
        <v>401.15435416969478</v>
      </c>
    </row>
    <row r="110" spans="1:7" ht="11.25" customHeight="1" x14ac:dyDescent="0.2">
      <c r="A110" s="49">
        <v>44531</v>
      </c>
      <c r="B110" s="39">
        <v>0</v>
      </c>
      <c r="C110" s="39">
        <v>393.21195999999981</v>
      </c>
      <c r="D110" s="39">
        <v>0</v>
      </c>
      <c r="E110" s="39">
        <v>489.63888588752059</v>
      </c>
      <c r="F110" s="39">
        <v>393.21195999999981</v>
      </c>
      <c r="G110" s="39">
        <v>489.63888588752059</v>
      </c>
    </row>
    <row r="111" spans="1:7" ht="11.25" customHeight="1" x14ac:dyDescent="0.2">
      <c r="A111" s="49">
        <v>44562</v>
      </c>
      <c r="B111" s="39">
        <v>0</v>
      </c>
      <c r="C111" s="39">
        <v>442.15705999999977</v>
      </c>
      <c r="D111" s="39">
        <v>0</v>
      </c>
      <c r="E111" s="39">
        <v>550.58673761017235</v>
      </c>
      <c r="F111" s="39">
        <v>442.15705999999977</v>
      </c>
      <c r="G111" s="39">
        <v>550.58673761017235</v>
      </c>
    </row>
    <row r="112" spans="1:7" ht="11.25" customHeight="1" x14ac:dyDescent="0.2">
      <c r="A112" s="49">
        <v>44593</v>
      </c>
      <c r="B112" s="39">
        <v>0</v>
      </c>
      <c r="C112" s="39">
        <v>424.99678999999981</v>
      </c>
      <c r="D112" s="39">
        <v>0</v>
      </c>
      <c r="E112" s="39">
        <v>529.21827393391732</v>
      </c>
      <c r="F112" s="39">
        <v>424.99678999999981</v>
      </c>
      <c r="G112" s="39">
        <v>529.21827393391732</v>
      </c>
    </row>
    <row r="113" spans="1:7" ht="11.25" customHeight="1" x14ac:dyDescent="0.2">
      <c r="A113" s="49">
        <v>44621</v>
      </c>
      <c r="B113" s="39">
        <v>0</v>
      </c>
      <c r="C113" s="39">
        <v>462.85552999999976</v>
      </c>
      <c r="D113" s="39">
        <v>0</v>
      </c>
      <c r="E113" s="39">
        <v>576.36107008565523</v>
      </c>
      <c r="F113" s="39">
        <v>462.85552999999976</v>
      </c>
      <c r="G113" s="39">
        <v>576.36107008565523</v>
      </c>
    </row>
    <row r="114" spans="1:7" ht="11.25" customHeight="1" x14ac:dyDescent="0.2">
      <c r="A114" s="49">
        <v>44652</v>
      </c>
      <c r="B114" s="39">
        <v>0</v>
      </c>
      <c r="C114" s="39">
        <v>468.63458999999978</v>
      </c>
      <c r="D114" s="39">
        <v>0</v>
      </c>
      <c r="E114" s="39">
        <v>583.55732245772731</v>
      </c>
      <c r="F114" s="39">
        <v>468.63458999999978</v>
      </c>
      <c r="G114" s="39">
        <v>583.55732245772731</v>
      </c>
    </row>
    <row r="115" spans="1:7" ht="11.25" customHeight="1" x14ac:dyDescent="0.2">
      <c r="A115" s="49">
        <v>44682</v>
      </c>
      <c r="B115" s="39">
        <v>0</v>
      </c>
      <c r="C115" s="39">
        <v>376.99520999999982</v>
      </c>
      <c r="D115" s="39">
        <v>0</v>
      </c>
      <c r="E115" s="39">
        <v>469.44532055772629</v>
      </c>
      <c r="F115" s="39">
        <v>376.99520999999982</v>
      </c>
      <c r="G115" s="39">
        <v>469.44532055772629</v>
      </c>
    </row>
    <row r="116" spans="1:7" ht="11.25" customHeight="1" x14ac:dyDescent="0.2">
      <c r="A116" s="49">
        <v>44713</v>
      </c>
      <c r="B116" s="39">
        <v>0</v>
      </c>
      <c r="C116" s="39">
        <v>484.91030999999975</v>
      </c>
      <c r="D116" s="39">
        <v>0</v>
      </c>
      <c r="E116" s="39">
        <v>603.82431893417538</v>
      </c>
      <c r="F116" s="39">
        <v>484.91030999999975</v>
      </c>
      <c r="G116" s="39">
        <v>603.82431893417538</v>
      </c>
    </row>
    <row r="117" spans="1:7" ht="11.25" customHeight="1" x14ac:dyDescent="0.2">
      <c r="A117" s="49">
        <v>44743</v>
      </c>
      <c r="B117" s="39">
        <v>0</v>
      </c>
      <c r="C117" s="39">
        <v>434.31404999999978</v>
      </c>
      <c r="D117" s="39">
        <v>0</v>
      </c>
      <c r="E117" s="39">
        <v>540.82039510521736</v>
      </c>
      <c r="F117" s="39">
        <v>434.31404999999978</v>
      </c>
      <c r="G117" s="39">
        <v>540.82039510521736</v>
      </c>
    </row>
    <row r="118" spans="1:7" ht="11.25" customHeight="1" x14ac:dyDescent="0.2">
      <c r="A118" s="49">
        <v>44774</v>
      </c>
      <c r="B118" s="39">
        <v>0</v>
      </c>
      <c r="C118" s="39">
        <v>425.29163999999975</v>
      </c>
      <c r="D118" s="39">
        <v>0</v>
      </c>
      <c r="E118" s="39">
        <v>529.5854296671863</v>
      </c>
      <c r="F118" s="39">
        <v>425.29163999999975</v>
      </c>
      <c r="G118" s="39">
        <v>529.5854296671863</v>
      </c>
    </row>
    <row r="119" spans="1:7" ht="11.25" customHeight="1" x14ac:dyDescent="0.2">
      <c r="A119" s="45" t="s">
        <v>32</v>
      </c>
      <c r="B119" s="39">
        <v>0</v>
      </c>
      <c r="C119" s="39">
        <v>-5.4143356464919636E-13</v>
      </c>
      <c r="D119" s="39">
        <v>0</v>
      </c>
      <c r="E119" s="39">
        <v>0</v>
      </c>
      <c r="F119" s="39">
        <v>-5.4143356464919636E-13</v>
      </c>
      <c r="G119" s="39">
        <v>0</v>
      </c>
    </row>
    <row r="120" spans="1:7" ht="11.25" customHeight="1" x14ac:dyDescent="0.2">
      <c r="A120" s="46" t="s">
        <v>25</v>
      </c>
      <c r="B120" s="39">
        <v>0</v>
      </c>
      <c r="C120" s="39">
        <v>-5.4143356464919636E-13</v>
      </c>
      <c r="D120" s="39">
        <v>0</v>
      </c>
      <c r="E120" s="39">
        <v>0</v>
      </c>
      <c r="F120" s="39">
        <v>-5.4143356464919636E-13</v>
      </c>
      <c r="G120" s="39">
        <v>0</v>
      </c>
    </row>
    <row r="121" spans="1:7" ht="11.25" customHeight="1" x14ac:dyDescent="0.2">
      <c r="A121" s="47" t="s">
        <v>25</v>
      </c>
      <c r="B121" s="39">
        <v>0</v>
      </c>
      <c r="C121" s="39">
        <v>-5.4143356464919636E-13</v>
      </c>
      <c r="D121" s="39">
        <v>0</v>
      </c>
      <c r="E121" s="39">
        <v>0</v>
      </c>
      <c r="F121" s="39">
        <v>-5.4143356464919636E-13</v>
      </c>
      <c r="G121" s="39">
        <v>0</v>
      </c>
    </row>
    <row r="122" spans="1:7" ht="11.25" customHeight="1" x14ac:dyDescent="0.2">
      <c r="A122" s="48" t="s">
        <v>25</v>
      </c>
      <c r="B122" s="39">
        <v>0</v>
      </c>
      <c r="C122" s="39">
        <v>-5.4143356464919636E-13</v>
      </c>
      <c r="D122" s="39">
        <v>0</v>
      </c>
      <c r="E122" s="39">
        <v>0</v>
      </c>
      <c r="F122" s="39">
        <v>-5.4143356464919636E-13</v>
      </c>
      <c r="G122" s="39">
        <v>0</v>
      </c>
    </row>
    <row r="123" spans="1:7" ht="11.25" customHeight="1" x14ac:dyDescent="0.2">
      <c r="A123" s="49">
        <v>44440</v>
      </c>
      <c r="B123" s="39">
        <v>0</v>
      </c>
      <c r="C123" s="39">
        <v>-5.5422333389287816E-15</v>
      </c>
      <c r="D123" s="39">
        <v>0</v>
      </c>
      <c r="E123" s="39">
        <v>0</v>
      </c>
      <c r="F123" s="39">
        <v>-5.5422333389287816E-15</v>
      </c>
      <c r="G123" s="39">
        <v>0</v>
      </c>
    </row>
    <row r="124" spans="1:7" ht="11.25" customHeight="1" x14ac:dyDescent="0.2">
      <c r="A124" s="49">
        <v>44470</v>
      </c>
      <c r="B124" s="39">
        <v>0</v>
      </c>
      <c r="C124" s="39">
        <v>-2.5977442419389261E-14</v>
      </c>
      <c r="D124" s="39">
        <v>0</v>
      </c>
      <c r="E124" s="39">
        <v>0</v>
      </c>
      <c r="F124" s="39">
        <v>-2.5977442419389261E-14</v>
      </c>
      <c r="G124" s="39">
        <v>0</v>
      </c>
    </row>
    <row r="125" spans="1:7" ht="11.25" customHeight="1" x14ac:dyDescent="0.2">
      <c r="A125" s="49">
        <v>44501</v>
      </c>
      <c r="B125" s="39">
        <v>0</v>
      </c>
      <c r="C125" s="39">
        <v>-2.9274360713316128E-14</v>
      </c>
      <c r="D125" s="39">
        <v>0</v>
      </c>
      <c r="E125" s="39">
        <v>0</v>
      </c>
      <c r="F125" s="39">
        <v>-2.9274360713316128E-14</v>
      </c>
      <c r="G125" s="39">
        <v>0</v>
      </c>
    </row>
    <row r="126" spans="1:7" ht="11.25" customHeight="1" x14ac:dyDescent="0.2">
      <c r="A126" s="49">
        <v>44531</v>
      </c>
      <c r="B126" s="39">
        <v>0</v>
      </c>
      <c r="C126" s="39">
        <v>-4.530420483206399E-14</v>
      </c>
      <c r="D126" s="39">
        <v>0</v>
      </c>
      <c r="E126" s="39">
        <v>0</v>
      </c>
      <c r="F126" s="39">
        <v>-4.530420483206399E-14</v>
      </c>
      <c r="G126" s="39">
        <v>0</v>
      </c>
    </row>
    <row r="127" spans="1:7" ht="11.25" customHeight="1" x14ac:dyDescent="0.2">
      <c r="A127" s="49">
        <v>44562</v>
      </c>
      <c r="B127" s="39">
        <v>0</v>
      </c>
      <c r="C127" s="39">
        <v>-6.9348971010185777E-14</v>
      </c>
      <c r="D127" s="39">
        <v>0</v>
      </c>
      <c r="E127" s="39">
        <v>0</v>
      </c>
      <c r="F127" s="39">
        <v>-6.9348971010185777E-14</v>
      </c>
      <c r="G127" s="39">
        <v>0</v>
      </c>
    </row>
    <row r="128" spans="1:7" ht="11.25" customHeight="1" x14ac:dyDescent="0.2">
      <c r="A128" s="49">
        <v>44593</v>
      </c>
      <c r="B128" s="39">
        <v>0</v>
      </c>
      <c r="C128" s="39">
        <v>-6.0396132539608516E-14</v>
      </c>
      <c r="D128" s="39">
        <v>0</v>
      </c>
      <c r="E128" s="39">
        <v>0</v>
      </c>
      <c r="F128" s="39">
        <v>-6.0396132539608516E-14</v>
      </c>
      <c r="G128" s="39">
        <v>0</v>
      </c>
    </row>
    <row r="129" spans="1:7" ht="11.25" customHeight="1" x14ac:dyDescent="0.2">
      <c r="A129" s="49">
        <v>44621</v>
      </c>
      <c r="B129" s="39">
        <v>0</v>
      </c>
      <c r="C129" s="39">
        <v>-7.4209083322784869E-14</v>
      </c>
      <c r="D129" s="39">
        <v>0</v>
      </c>
      <c r="E129" s="39">
        <v>0</v>
      </c>
      <c r="F129" s="39">
        <v>-7.4209083322784869E-14</v>
      </c>
      <c r="G129" s="39">
        <v>0</v>
      </c>
    </row>
    <row r="130" spans="1:7" ht="11.25" customHeight="1" x14ac:dyDescent="0.2">
      <c r="A130" s="49">
        <v>44652</v>
      </c>
      <c r="B130" s="39">
        <v>0</v>
      </c>
      <c r="C130" s="39">
        <v>-5.8520299717201856E-14</v>
      </c>
      <c r="D130" s="39">
        <v>0</v>
      </c>
      <c r="E130" s="39">
        <v>0</v>
      </c>
      <c r="F130" s="39">
        <v>-5.8520299717201856E-14</v>
      </c>
      <c r="G130" s="39">
        <v>0</v>
      </c>
    </row>
    <row r="131" spans="1:7" ht="11.25" customHeight="1" x14ac:dyDescent="0.2">
      <c r="A131" s="49">
        <v>44682</v>
      </c>
      <c r="B131" s="39">
        <v>0</v>
      </c>
      <c r="C131" s="39">
        <v>-4.0870418160920961E-14</v>
      </c>
      <c r="D131" s="39">
        <v>0</v>
      </c>
      <c r="E131" s="39">
        <v>0</v>
      </c>
      <c r="F131" s="39">
        <v>-4.0870418160920961E-14</v>
      </c>
      <c r="G131" s="39">
        <v>0</v>
      </c>
    </row>
    <row r="132" spans="1:7" ht="11.25" customHeight="1" x14ac:dyDescent="0.2">
      <c r="A132" s="49">
        <v>44713</v>
      </c>
      <c r="B132" s="39">
        <v>0</v>
      </c>
      <c r="C132" s="39">
        <v>-6.3181460063788105E-14</v>
      </c>
      <c r="D132" s="39">
        <v>0</v>
      </c>
      <c r="E132" s="39">
        <v>0</v>
      </c>
      <c r="F132" s="39">
        <v>-6.3181460063788105E-14</v>
      </c>
      <c r="G132" s="39">
        <v>0</v>
      </c>
    </row>
    <row r="133" spans="1:7" ht="11.25" customHeight="1" x14ac:dyDescent="0.2">
      <c r="A133" s="49">
        <v>44743</v>
      </c>
      <c r="B133" s="39">
        <v>0</v>
      </c>
      <c r="C133" s="39">
        <v>-3.5782932172878642E-14</v>
      </c>
      <c r="D133" s="39">
        <v>0</v>
      </c>
      <c r="E133" s="39">
        <v>0</v>
      </c>
      <c r="F133" s="39">
        <v>-3.5782932172878642E-14</v>
      </c>
      <c r="G133" s="39">
        <v>0</v>
      </c>
    </row>
    <row r="134" spans="1:7" ht="11.25" customHeight="1" x14ac:dyDescent="0.2">
      <c r="A134" s="49">
        <v>44774</v>
      </c>
      <c r="B134" s="39">
        <v>0</v>
      </c>
      <c r="C134" s="39">
        <v>-3.3026026358129454E-14</v>
      </c>
      <c r="D134" s="39">
        <v>0</v>
      </c>
      <c r="E134" s="39">
        <v>0</v>
      </c>
      <c r="F134" s="39">
        <v>-3.3026026358129454E-14</v>
      </c>
      <c r="G134" s="39">
        <v>0</v>
      </c>
    </row>
    <row r="135" spans="1:7" ht="11.25" customHeight="1" x14ac:dyDescent="0.2">
      <c r="A135" s="41" t="s">
        <v>596</v>
      </c>
      <c r="B135" s="39">
        <v>218898.81285384001</v>
      </c>
      <c r="C135" s="39">
        <v>702177.20182138192</v>
      </c>
      <c r="D135" s="39">
        <v>236281.4191383635</v>
      </c>
      <c r="E135" s="39">
        <v>746510.30181987188</v>
      </c>
      <c r="F135" s="39">
        <v>921076.01467522187</v>
      </c>
      <c r="G135" s="39">
        <v>982791.72095823544</v>
      </c>
    </row>
    <row r="136" spans="1:7" ht="11.25" customHeight="1" x14ac:dyDescent="0.2">
      <c r="A136" s="42" t="s">
        <v>38</v>
      </c>
      <c r="B136" s="39">
        <v>218898.81285384001</v>
      </c>
      <c r="C136" s="39">
        <v>702177.20182138192</v>
      </c>
      <c r="D136" s="39">
        <v>236281.4191383635</v>
      </c>
      <c r="E136" s="39">
        <v>746510.30181987188</v>
      </c>
      <c r="F136" s="39">
        <v>921076.01467522187</v>
      </c>
      <c r="G136" s="39">
        <v>982791.72095823544</v>
      </c>
    </row>
    <row r="137" spans="1:7" ht="11.25" customHeight="1" x14ac:dyDescent="0.2">
      <c r="A137" s="43" t="s">
        <v>39</v>
      </c>
      <c r="B137" s="39">
        <v>218898.81285384001</v>
      </c>
      <c r="C137" s="39">
        <v>702177.20182138192</v>
      </c>
      <c r="D137" s="39">
        <v>236281.4191383635</v>
      </c>
      <c r="E137" s="39">
        <v>746510.30181987188</v>
      </c>
      <c r="F137" s="39">
        <v>921076.01467522187</v>
      </c>
      <c r="G137" s="39">
        <v>982791.72095823544</v>
      </c>
    </row>
    <row r="138" spans="1:7" ht="11.25" customHeight="1" x14ac:dyDescent="0.2">
      <c r="A138" s="44" t="s">
        <v>49</v>
      </c>
      <c r="B138" s="39">
        <v>218898.81285384001</v>
      </c>
      <c r="C138" s="39">
        <v>702177.20182138192</v>
      </c>
      <c r="D138" s="39">
        <v>236281.4191383635</v>
      </c>
      <c r="E138" s="39">
        <v>746510.30181987188</v>
      </c>
      <c r="F138" s="39">
        <v>921076.01467522187</v>
      </c>
      <c r="G138" s="39">
        <v>982791.72095823544</v>
      </c>
    </row>
    <row r="139" spans="1:7" ht="11.25" customHeight="1" x14ac:dyDescent="0.2">
      <c r="A139" s="45" t="s">
        <v>25</v>
      </c>
      <c r="B139" s="39">
        <v>218898.81285384001</v>
      </c>
      <c r="C139" s="39">
        <v>702177.20182138192</v>
      </c>
      <c r="D139" s="39">
        <v>236281.4191383635</v>
      </c>
      <c r="E139" s="39">
        <v>746510.30181987188</v>
      </c>
      <c r="F139" s="39">
        <v>921076.01467522187</v>
      </c>
      <c r="G139" s="39">
        <v>982791.72095823544</v>
      </c>
    </row>
    <row r="140" spans="1:7" ht="11.25" customHeight="1" x14ac:dyDescent="0.2">
      <c r="A140" s="46" t="s">
        <v>50</v>
      </c>
      <c r="B140" s="39">
        <v>218898.81285384001</v>
      </c>
      <c r="C140" s="39">
        <v>702177.20182138192</v>
      </c>
      <c r="D140" s="39">
        <v>236281.4191383635</v>
      </c>
      <c r="E140" s="39">
        <v>746510.30181987188</v>
      </c>
      <c r="F140" s="39">
        <v>921076.01467522187</v>
      </c>
      <c r="G140" s="39">
        <v>982791.72095823544</v>
      </c>
    </row>
    <row r="141" spans="1:7" ht="11.25" customHeight="1" x14ac:dyDescent="0.2">
      <c r="A141" s="47" t="s">
        <v>25</v>
      </c>
      <c r="B141" s="39">
        <v>218898.81285384001</v>
      </c>
      <c r="C141" s="39">
        <v>702177.20182138192</v>
      </c>
      <c r="D141" s="39">
        <v>236281.4191383635</v>
      </c>
      <c r="E141" s="39">
        <v>746510.30181987188</v>
      </c>
      <c r="F141" s="39">
        <v>921076.01467522187</v>
      </c>
      <c r="G141" s="39">
        <v>982791.72095823544</v>
      </c>
    </row>
    <row r="142" spans="1:7" ht="11.25" customHeight="1" x14ac:dyDescent="0.2">
      <c r="A142" s="48" t="s">
        <v>34</v>
      </c>
      <c r="B142" s="39">
        <v>0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</row>
    <row r="143" spans="1:7" ht="11.25" customHeight="1" x14ac:dyDescent="0.2">
      <c r="A143" s="49">
        <v>44440</v>
      </c>
      <c r="B143" s="39">
        <v>0</v>
      </c>
      <c r="C143" s="39">
        <v>0</v>
      </c>
      <c r="D143" s="39">
        <v>0</v>
      </c>
      <c r="E143" s="39">
        <v>0</v>
      </c>
      <c r="F143" s="39">
        <v>0</v>
      </c>
      <c r="G143" s="39">
        <v>0</v>
      </c>
    </row>
    <row r="144" spans="1:7" ht="11.25" customHeight="1" x14ac:dyDescent="0.2">
      <c r="A144" s="49">
        <v>44470</v>
      </c>
      <c r="B144" s="39">
        <v>0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</row>
    <row r="145" spans="1:7" ht="11.25" customHeight="1" x14ac:dyDescent="0.2">
      <c r="A145" s="49">
        <v>44501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</row>
    <row r="146" spans="1:7" ht="11.25" customHeight="1" x14ac:dyDescent="0.2">
      <c r="A146" s="49">
        <v>44531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</row>
    <row r="147" spans="1:7" ht="11.25" customHeight="1" x14ac:dyDescent="0.2">
      <c r="A147" s="49">
        <v>44562</v>
      </c>
      <c r="B147" s="39">
        <v>0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</row>
    <row r="148" spans="1:7" ht="11.25" customHeight="1" x14ac:dyDescent="0.2">
      <c r="A148" s="49">
        <v>44593</v>
      </c>
      <c r="B148" s="39">
        <v>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</row>
    <row r="149" spans="1:7" ht="11.25" customHeight="1" x14ac:dyDescent="0.2">
      <c r="A149" s="49">
        <v>44621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</row>
    <row r="150" spans="1:7" ht="11.25" customHeight="1" x14ac:dyDescent="0.2">
      <c r="A150" s="49">
        <v>44652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</row>
    <row r="151" spans="1:7" ht="11.25" customHeight="1" x14ac:dyDescent="0.2">
      <c r="A151" s="49">
        <v>44682</v>
      </c>
      <c r="B151" s="39">
        <v>0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</row>
    <row r="152" spans="1:7" ht="11.25" customHeight="1" x14ac:dyDescent="0.2">
      <c r="A152" s="49">
        <v>44713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</row>
    <row r="153" spans="1:7" ht="11.25" customHeight="1" x14ac:dyDescent="0.2">
      <c r="A153" s="49">
        <v>44743</v>
      </c>
      <c r="B153" s="39">
        <v>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</row>
    <row r="154" spans="1:7" ht="11.25" customHeight="1" x14ac:dyDescent="0.2">
      <c r="A154" s="49">
        <v>44774</v>
      </c>
      <c r="B154" s="39">
        <v>0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</row>
    <row r="155" spans="1:7" ht="11.25" customHeight="1" x14ac:dyDescent="0.2">
      <c r="A155" s="48" t="s">
        <v>25</v>
      </c>
      <c r="B155" s="39">
        <v>218898.81285384001</v>
      </c>
      <c r="C155" s="39">
        <v>0</v>
      </c>
      <c r="D155" s="39">
        <v>236281.4191383635</v>
      </c>
      <c r="E155" s="39">
        <v>0</v>
      </c>
      <c r="F155" s="39">
        <v>218898.81285384001</v>
      </c>
      <c r="G155" s="39">
        <v>236281.4191383635</v>
      </c>
    </row>
    <row r="156" spans="1:7" ht="11.25" customHeight="1" x14ac:dyDescent="0.2">
      <c r="A156" s="49">
        <v>44440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</row>
    <row r="157" spans="1:7" ht="11.25" customHeight="1" x14ac:dyDescent="0.2">
      <c r="A157" s="49">
        <v>44470</v>
      </c>
      <c r="B157" s="39">
        <v>0</v>
      </c>
      <c r="C157" s="39">
        <v>0</v>
      </c>
      <c r="D157" s="39">
        <v>0</v>
      </c>
      <c r="E157" s="39">
        <v>0</v>
      </c>
      <c r="F157" s="39">
        <v>0</v>
      </c>
      <c r="G157" s="39">
        <v>0</v>
      </c>
    </row>
    <row r="158" spans="1:7" ht="11.25" customHeight="1" x14ac:dyDescent="0.2">
      <c r="A158" s="49">
        <v>44501</v>
      </c>
      <c r="B158" s="39">
        <v>0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</row>
    <row r="159" spans="1:7" ht="11.25" customHeight="1" x14ac:dyDescent="0.2">
      <c r="A159" s="49">
        <v>44531</v>
      </c>
      <c r="B159" s="39">
        <v>0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</row>
    <row r="160" spans="1:7" ht="11.25" customHeight="1" x14ac:dyDescent="0.2">
      <c r="A160" s="49">
        <v>44562</v>
      </c>
      <c r="B160" s="39">
        <v>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</row>
    <row r="161" spans="1:7" ht="11.25" customHeight="1" x14ac:dyDescent="0.2">
      <c r="A161" s="49">
        <v>44593</v>
      </c>
      <c r="B161" s="39">
        <v>31153.754131919999</v>
      </c>
      <c r="C161" s="39">
        <v>0</v>
      </c>
      <c r="D161" s="39">
        <v>33627.652620906309</v>
      </c>
      <c r="E161" s="39">
        <v>0</v>
      </c>
      <c r="F161" s="39">
        <v>31153.754131919999</v>
      </c>
      <c r="G161" s="39">
        <v>33627.652620906309</v>
      </c>
    </row>
    <row r="162" spans="1:7" ht="11.25" customHeight="1" x14ac:dyDescent="0.2">
      <c r="A162" s="49">
        <v>44621</v>
      </c>
      <c r="B162" s="39">
        <v>31198.724951520002</v>
      </c>
      <c r="C162" s="39">
        <v>0</v>
      </c>
      <c r="D162" s="39">
        <v>33676.194542794205</v>
      </c>
      <c r="E162" s="39">
        <v>0</v>
      </c>
      <c r="F162" s="39">
        <v>31198.724951520002</v>
      </c>
      <c r="G162" s="39">
        <v>33676.194542794205</v>
      </c>
    </row>
    <row r="163" spans="1:7" ht="11.25" customHeight="1" x14ac:dyDescent="0.2">
      <c r="A163" s="49">
        <v>44652</v>
      </c>
      <c r="B163" s="39">
        <v>31258.666827359997</v>
      </c>
      <c r="C163" s="39">
        <v>0</v>
      </c>
      <c r="D163" s="39">
        <v>33740.896362345629</v>
      </c>
      <c r="E163" s="39">
        <v>0</v>
      </c>
      <c r="F163" s="39">
        <v>31258.666827359997</v>
      </c>
      <c r="G163" s="39">
        <v>33740.896362345629</v>
      </c>
    </row>
    <row r="164" spans="1:7" ht="11.25" customHeight="1" x14ac:dyDescent="0.2">
      <c r="A164" s="49">
        <v>44682</v>
      </c>
      <c r="B164" s="39">
        <v>31307.253986400003</v>
      </c>
      <c r="C164" s="39">
        <v>0</v>
      </c>
      <c r="D164" s="39">
        <v>33793.341794736065</v>
      </c>
      <c r="E164" s="39">
        <v>0</v>
      </c>
      <c r="F164" s="39">
        <v>31307.253986400003</v>
      </c>
      <c r="G164" s="39">
        <v>33793.341794736065</v>
      </c>
    </row>
    <row r="165" spans="1:7" ht="11.25" customHeight="1" x14ac:dyDescent="0.2">
      <c r="A165" s="49">
        <v>44713</v>
      </c>
      <c r="B165" s="39">
        <v>31316.412956640001</v>
      </c>
      <c r="C165" s="39">
        <v>0</v>
      </c>
      <c r="D165" s="39">
        <v>33803.228072591752</v>
      </c>
      <c r="E165" s="39">
        <v>0</v>
      </c>
      <c r="F165" s="39">
        <v>31316.412956640001</v>
      </c>
      <c r="G165" s="39">
        <v>33803.228072591752</v>
      </c>
    </row>
    <row r="166" spans="1:7" ht="11.25" customHeight="1" x14ac:dyDescent="0.2">
      <c r="A166" s="49">
        <v>44743</v>
      </c>
      <c r="B166" s="39">
        <v>31332</v>
      </c>
      <c r="C166" s="39">
        <v>0</v>
      </c>
      <c r="D166" s="39">
        <v>33820.052872494758</v>
      </c>
      <c r="E166" s="39">
        <v>0</v>
      </c>
      <c r="F166" s="39">
        <v>31332</v>
      </c>
      <c r="G166" s="39">
        <v>33820.052872494758</v>
      </c>
    </row>
    <row r="167" spans="1:7" ht="11.25" customHeight="1" x14ac:dyDescent="0.2">
      <c r="A167" s="49">
        <v>44774</v>
      </c>
      <c r="B167" s="39">
        <v>31332</v>
      </c>
      <c r="C167" s="39">
        <v>0</v>
      </c>
      <c r="D167" s="39">
        <v>33820.052872494758</v>
      </c>
      <c r="E167" s="39">
        <v>0</v>
      </c>
      <c r="F167" s="39">
        <v>31332</v>
      </c>
      <c r="G167" s="39">
        <v>33820.052872494758</v>
      </c>
    </row>
    <row r="168" spans="1:7" ht="11.25" customHeight="1" x14ac:dyDescent="0.2">
      <c r="A168" s="48" t="s">
        <v>40</v>
      </c>
      <c r="B168" s="39">
        <v>0</v>
      </c>
      <c r="C168" s="39">
        <v>702177.20182138192</v>
      </c>
      <c r="D168" s="39">
        <v>0</v>
      </c>
      <c r="E168" s="39">
        <v>746510.30181987188</v>
      </c>
      <c r="F168" s="39">
        <v>702177.20182138192</v>
      </c>
      <c r="G168" s="39">
        <v>746510.30181987188</v>
      </c>
    </row>
    <row r="169" spans="1:7" ht="11.25" customHeight="1" x14ac:dyDescent="0.2">
      <c r="A169" s="49">
        <v>44440</v>
      </c>
      <c r="B169" s="39">
        <v>0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</row>
    <row r="170" spans="1:7" ht="11.25" customHeight="1" x14ac:dyDescent="0.2">
      <c r="A170" s="49">
        <v>44470</v>
      </c>
      <c r="B170" s="39">
        <v>0</v>
      </c>
      <c r="C170" s="39">
        <v>0</v>
      </c>
      <c r="D170" s="39">
        <v>0</v>
      </c>
      <c r="E170" s="39">
        <v>0</v>
      </c>
      <c r="F170" s="39">
        <v>0</v>
      </c>
      <c r="G170" s="39">
        <v>0</v>
      </c>
    </row>
    <row r="171" spans="1:7" ht="11.25" customHeight="1" x14ac:dyDescent="0.2">
      <c r="A171" s="49">
        <v>44501</v>
      </c>
      <c r="B171" s="39">
        <v>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</row>
    <row r="172" spans="1:7" ht="11.25" customHeight="1" x14ac:dyDescent="0.2">
      <c r="A172" s="49">
        <v>44531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</row>
    <row r="173" spans="1:7" ht="11.25" customHeight="1" x14ac:dyDescent="0.2">
      <c r="A173" s="49">
        <v>44562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</row>
    <row r="174" spans="1:7" ht="11.25" customHeight="1" x14ac:dyDescent="0.2">
      <c r="A174" s="49">
        <v>44593</v>
      </c>
      <c r="B174" s="39">
        <v>0</v>
      </c>
      <c r="C174" s="39">
        <v>89504.512737666446</v>
      </c>
      <c r="D174" s="39">
        <v>0</v>
      </c>
      <c r="E174" s="39">
        <v>95155.525762900579</v>
      </c>
      <c r="F174" s="39">
        <v>89504.512737666446</v>
      </c>
      <c r="G174" s="39">
        <v>95155.525762900579</v>
      </c>
    </row>
    <row r="175" spans="1:7" ht="11.25" customHeight="1" x14ac:dyDescent="0.2">
      <c r="A175" s="49">
        <v>44621</v>
      </c>
      <c r="B175" s="39">
        <v>0</v>
      </c>
      <c r="C175" s="39">
        <v>103878.21747868165</v>
      </c>
      <c r="D175" s="39">
        <v>0</v>
      </c>
      <c r="E175" s="39">
        <v>110436.73773710319</v>
      </c>
      <c r="F175" s="39">
        <v>103878.21747868165</v>
      </c>
      <c r="G175" s="39">
        <v>110436.73773710319</v>
      </c>
    </row>
    <row r="176" spans="1:7" ht="11.25" customHeight="1" x14ac:dyDescent="0.2">
      <c r="A176" s="49">
        <v>44652</v>
      </c>
      <c r="B176" s="39">
        <v>0</v>
      </c>
      <c r="C176" s="39">
        <v>97808.297749603735</v>
      </c>
      <c r="D176" s="39">
        <v>0</v>
      </c>
      <c r="E176" s="39">
        <v>103983.5837508691</v>
      </c>
      <c r="F176" s="39">
        <v>97808.297749603735</v>
      </c>
      <c r="G176" s="39">
        <v>103983.5837508691</v>
      </c>
    </row>
    <row r="177" spans="1:7" ht="11.25" customHeight="1" x14ac:dyDescent="0.2">
      <c r="A177" s="49">
        <v>44682</v>
      </c>
      <c r="B177" s="39">
        <v>0</v>
      </c>
      <c r="C177" s="39">
        <v>98553.48046874057</v>
      </c>
      <c r="D177" s="39">
        <v>0</v>
      </c>
      <c r="E177" s="39">
        <v>104775.81479330517</v>
      </c>
      <c r="F177" s="39">
        <v>98553.48046874057</v>
      </c>
      <c r="G177" s="39">
        <v>104775.81479330517</v>
      </c>
    </row>
    <row r="178" spans="1:7" ht="11.25" customHeight="1" x14ac:dyDescent="0.2">
      <c r="A178" s="49">
        <v>44713</v>
      </c>
      <c r="B178" s="39">
        <v>0</v>
      </c>
      <c r="C178" s="39">
        <v>99258.052849136293</v>
      </c>
      <c r="D178" s="39">
        <v>0</v>
      </c>
      <c r="E178" s="39">
        <v>105524.87149719535</v>
      </c>
      <c r="F178" s="39">
        <v>99258.052849136293</v>
      </c>
      <c r="G178" s="39">
        <v>105524.87149719535</v>
      </c>
    </row>
    <row r="179" spans="1:7" ht="11.25" customHeight="1" x14ac:dyDescent="0.2">
      <c r="A179" s="49">
        <v>44743</v>
      </c>
      <c r="B179" s="39">
        <v>0</v>
      </c>
      <c r="C179" s="39">
        <v>107118.03325353673</v>
      </c>
      <c r="D179" s="39">
        <v>0</v>
      </c>
      <c r="E179" s="39">
        <v>113881.10455171116</v>
      </c>
      <c r="F179" s="39">
        <v>107118.03325353673</v>
      </c>
      <c r="G179" s="39">
        <v>113881.10455171116</v>
      </c>
    </row>
    <row r="180" spans="1:7" ht="11.25" customHeight="1" x14ac:dyDescent="0.2">
      <c r="A180" s="49">
        <v>44774</v>
      </c>
      <c r="B180" s="39">
        <v>0</v>
      </c>
      <c r="C180" s="39">
        <v>106056.60728401646</v>
      </c>
      <c r="D180" s="39">
        <v>0</v>
      </c>
      <c r="E180" s="39">
        <v>112752.66372678733</v>
      </c>
      <c r="F180" s="39">
        <v>106056.60728401646</v>
      </c>
      <c r="G180" s="39">
        <v>112752.66372678733</v>
      </c>
    </row>
    <row r="181" spans="1:7" ht="11.25" customHeight="1" x14ac:dyDescent="0.2">
      <c r="A181" s="41" t="s">
        <v>599</v>
      </c>
      <c r="B181" s="39">
        <v>0</v>
      </c>
      <c r="C181" s="39">
        <v>113582.17169</v>
      </c>
      <c r="D181" s="39">
        <v>0</v>
      </c>
      <c r="E181" s="39">
        <v>72044.789671797596</v>
      </c>
      <c r="F181" s="39">
        <v>113582.17168999999</v>
      </c>
      <c r="G181" s="39">
        <v>72044.789671797596</v>
      </c>
    </row>
    <row r="182" spans="1:7" ht="11.25" customHeight="1" x14ac:dyDescent="0.2">
      <c r="A182" s="42" t="s">
        <v>41</v>
      </c>
      <c r="B182" s="39">
        <v>0</v>
      </c>
      <c r="C182" s="39">
        <v>113582.17169</v>
      </c>
      <c r="D182" s="39">
        <v>0</v>
      </c>
      <c r="E182" s="39">
        <v>72044.789671797596</v>
      </c>
      <c r="F182" s="39">
        <v>113582.17168999999</v>
      </c>
      <c r="G182" s="39">
        <v>72044.789671797596</v>
      </c>
    </row>
    <row r="183" spans="1:7" ht="11.25" customHeight="1" x14ac:dyDescent="0.2">
      <c r="A183" s="43" t="s">
        <v>23</v>
      </c>
      <c r="B183" s="39">
        <v>0</v>
      </c>
      <c r="C183" s="39">
        <v>113582.17169</v>
      </c>
      <c r="D183" s="39">
        <v>0</v>
      </c>
      <c r="E183" s="39">
        <v>72044.789671797596</v>
      </c>
      <c r="F183" s="39">
        <v>113582.17168999999</v>
      </c>
      <c r="G183" s="39">
        <v>72044.789671797596</v>
      </c>
    </row>
    <row r="184" spans="1:7" ht="11.25" customHeight="1" x14ac:dyDescent="0.2">
      <c r="A184" s="44" t="s">
        <v>42</v>
      </c>
      <c r="B184" s="39">
        <v>0</v>
      </c>
      <c r="C184" s="39">
        <v>113582.17169</v>
      </c>
      <c r="D184" s="39">
        <v>0</v>
      </c>
      <c r="E184" s="39">
        <v>72044.789671797596</v>
      </c>
      <c r="F184" s="39">
        <v>113582.17168999999</v>
      </c>
      <c r="G184" s="39">
        <v>72044.789671797596</v>
      </c>
    </row>
    <row r="185" spans="1:7" ht="11.25" customHeight="1" x14ac:dyDescent="0.2">
      <c r="A185" s="45" t="s">
        <v>25</v>
      </c>
      <c r="B185" s="39">
        <v>0</v>
      </c>
      <c r="C185" s="39">
        <v>113582.17169</v>
      </c>
      <c r="D185" s="39">
        <v>0</v>
      </c>
      <c r="E185" s="39">
        <v>72044.789671797596</v>
      </c>
      <c r="F185" s="39">
        <v>113582.17168999999</v>
      </c>
      <c r="G185" s="39">
        <v>72044.789671797596</v>
      </c>
    </row>
    <row r="186" spans="1:7" ht="11.25" customHeight="1" x14ac:dyDescent="0.2">
      <c r="A186" s="46" t="s">
        <v>25</v>
      </c>
      <c r="B186" s="39">
        <v>0</v>
      </c>
      <c r="C186" s="39">
        <v>113582.17169</v>
      </c>
      <c r="D186" s="39">
        <v>0</v>
      </c>
      <c r="E186" s="39">
        <v>72044.789671797596</v>
      </c>
      <c r="F186" s="39">
        <v>113582.17168999999</v>
      </c>
      <c r="G186" s="39">
        <v>72044.789671797596</v>
      </c>
    </row>
    <row r="187" spans="1:7" ht="11.25" customHeight="1" x14ac:dyDescent="0.2">
      <c r="A187" s="47" t="s">
        <v>25</v>
      </c>
      <c r="B187" s="39">
        <v>0</v>
      </c>
      <c r="C187" s="39">
        <v>113582.17169</v>
      </c>
      <c r="D187" s="39">
        <v>0</v>
      </c>
      <c r="E187" s="39">
        <v>72044.789671797596</v>
      </c>
      <c r="F187" s="39">
        <v>113582.17168999999</v>
      </c>
      <c r="G187" s="39">
        <v>72044.789671797596</v>
      </c>
    </row>
    <row r="188" spans="1:7" ht="11.25" customHeight="1" x14ac:dyDescent="0.2">
      <c r="A188" s="48" t="s">
        <v>25</v>
      </c>
      <c r="B188" s="39">
        <v>0</v>
      </c>
      <c r="C188" s="39">
        <v>113582.17169</v>
      </c>
      <c r="D188" s="39">
        <v>0</v>
      </c>
      <c r="E188" s="39">
        <v>72044.789671797596</v>
      </c>
      <c r="F188" s="39">
        <v>113582.17168999999</v>
      </c>
      <c r="G188" s="39">
        <v>72044.789671797596</v>
      </c>
    </row>
    <row r="189" spans="1:7" ht="11.25" customHeight="1" x14ac:dyDescent="0.2">
      <c r="A189" s="49">
        <v>44440</v>
      </c>
      <c r="B189" s="39">
        <v>0</v>
      </c>
      <c r="C189" s="39">
        <v>8942.100989999999</v>
      </c>
      <c r="D189" s="39">
        <v>0</v>
      </c>
      <c r="E189" s="39">
        <v>5671.9445971399991</v>
      </c>
      <c r="F189" s="39">
        <v>8942.100989999999</v>
      </c>
      <c r="G189" s="39">
        <v>5671.9445971399991</v>
      </c>
    </row>
    <row r="190" spans="1:7" ht="11.25" customHeight="1" x14ac:dyDescent="0.2">
      <c r="A190" s="49">
        <v>44470</v>
      </c>
      <c r="B190" s="39">
        <v>0</v>
      </c>
      <c r="C190" s="39">
        <v>8725.1079099999988</v>
      </c>
      <c r="D190" s="39">
        <v>0</v>
      </c>
      <c r="E190" s="39">
        <v>5534.3066159654236</v>
      </c>
      <c r="F190" s="39">
        <v>8725.1079099999988</v>
      </c>
      <c r="G190" s="39">
        <v>5534.3066159654236</v>
      </c>
    </row>
    <row r="191" spans="1:7" ht="11.25" customHeight="1" x14ac:dyDescent="0.2">
      <c r="A191" s="49">
        <v>44501</v>
      </c>
      <c r="B191" s="39">
        <v>0</v>
      </c>
      <c r="C191" s="39">
        <v>9134.2268599999989</v>
      </c>
      <c r="D191" s="39">
        <v>0</v>
      </c>
      <c r="E191" s="39">
        <v>5793.8093906081067</v>
      </c>
      <c r="F191" s="39">
        <v>9134.2268599999989</v>
      </c>
      <c r="G191" s="39">
        <v>5793.8093906081067</v>
      </c>
    </row>
    <row r="192" spans="1:7" ht="11.25" customHeight="1" x14ac:dyDescent="0.2">
      <c r="A192" s="49">
        <v>44531</v>
      </c>
      <c r="B192" s="39">
        <v>0</v>
      </c>
      <c r="C192" s="39">
        <v>9558.6108299999996</v>
      </c>
      <c r="D192" s="39">
        <v>0</v>
      </c>
      <c r="E192" s="39">
        <v>6062.9947161201071</v>
      </c>
      <c r="F192" s="39">
        <v>9558.6108299999996</v>
      </c>
      <c r="G192" s="39">
        <v>6062.9947161201071</v>
      </c>
    </row>
    <row r="193" spans="1:7" ht="11.25" customHeight="1" x14ac:dyDescent="0.2">
      <c r="A193" s="49">
        <v>44562</v>
      </c>
      <c r="B193" s="39">
        <v>0</v>
      </c>
      <c r="C193" s="39">
        <v>11108.01036</v>
      </c>
      <c r="D193" s="39">
        <v>0</v>
      </c>
      <c r="E193" s="39">
        <v>7045.7736293556591</v>
      </c>
      <c r="F193" s="39">
        <v>11108.01036</v>
      </c>
      <c r="G193" s="39">
        <v>7045.7736293556591</v>
      </c>
    </row>
    <row r="194" spans="1:7" ht="11.25" customHeight="1" x14ac:dyDescent="0.2">
      <c r="A194" s="49">
        <v>44593</v>
      </c>
      <c r="B194" s="39">
        <v>0</v>
      </c>
      <c r="C194" s="39">
        <v>10568.810459999997</v>
      </c>
      <c r="D194" s="39">
        <v>0</v>
      </c>
      <c r="E194" s="39">
        <v>6703.7609454233743</v>
      </c>
      <c r="F194" s="39">
        <v>10568.810459999997</v>
      </c>
      <c r="G194" s="39">
        <v>6703.7609454233743</v>
      </c>
    </row>
    <row r="195" spans="1:7" ht="11.25" customHeight="1" x14ac:dyDescent="0.2">
      <c r="A195" s="49">
        <v>44621</v>
      </c>
      <c r="B195" s="39">
        <v>0</v>
      </c>
      <c r="C195" s="39">
        <v>10881.33302</v>
      </c>
      <c r="D195" s="39">
        <v>0</v>
      </c>
      <c r="E195" s="39">
        <v>6901.9929546188305</v>
      </c>
      <c r="F195" s="39">
        <v>10881.33302</v>
      </c>
      <c r="G195" s="39">
        <v>6901.9929546188305</v>
      </c>
    </row>
    <row r="196" spans="1:7" ht="11.25" customHeight="1" x14ac:dyDescent="0.2">
      <c r="A196" s="49">
        <v>44652</v>
      </c>
      <c r="B196" s="39">
        <v>0</v>
      </c>
      <c r="C196" s="39">
        <v>10271.963269999998</v>
      </c>
      <c r="D196" s="39">
        <v>0</v>
      </c>
      <c r="E196" s="39">
        <v>6515.4717707227564</v>
      </c>
      <c r="F196" s="39">
        <v>10271.963269999998</v>
      </c>
      <c r="G196" s="39">
        <v>6515.4717707227564</v>
      </c>
    </row>
    <row r="197" spans="1:7" ht="11.25" customHeight="1" x14ac:dyDescent="0.2">
      <c r="A197" s="49">
        <v>44682</v>
      </c>
      <c r="B197" s="39">
        <v>0</v>
      </c>
      <c r="C197" s="39">
        <v>9659.5569299999988</v>
      </c>
      <c r="D197" s="39">
        <v>0</v>
      </c>
      <c r="E197" s="39">
        <v>6127.0244879978409</v>
      </c>
      <c r="F197" s="39">
        <v>9659.5569299999988</v>
      </c>
      <c r="G197" s="39">
        <v>6127.0244879978409</v>
      </c>
    </row>
    <row r="198" spans="1:7" ht="11.25" customHeight="1" x14ac:dyDescent="0.2">
      <c r="A198" s="49">
        <v>44713</v>
      </c>
      <c r="B198" s="39">
        <v>0</v>
      </c>
      <c r="C198" s="39">
        <v>7870.7592099999993</v>
      </c>
      <c r="D198" s="39">
        <v>0</v>
      </c>
      <c r="E198" s="39">
        <v>4992.3961076343639</v>
      </c>
      <c r="F198" s="39">
        <v>7870.7592099999993</v>
      </c>
      <c r="G198" s="39">
        <v>4992.3961076343639</v>
      </c>
    </row>
    <row r="199" spans="1:7" ht="11.25" customHeight="1" x14ac:dyDescent="0.2">
      <c r="A199" s="49">
        <v>44743</v>
      </c>
      <c r="B199" s="39">
        <v>0</v>
      </c>
      <c r="C199" s="39">
        <v>8300.149449999999</v>
      </c>
      <c r="D199" s="39">
        <v>0</v>
      </c>
      <c r="E199" s="39">
        <v>5264.7568933776975</v>
      </c>
      <c r="F199" s="39">
        <v>8300.149449999999</v>
      </c>
      <c r="G199" s="39">
        <v>5264.7568933776975</v>
      </c>
    </row>
    <row r="200" spans="1:7" ht="11.25" customHeight="1" x14ac:dyDescent="0.2">
      <c r="A200" s="49">
        <v>44774</v>
      </c>
      <c r="B200" s="39">
        <v>0</v>
      </c>
      <c r="C200" s="39">
        <v>8561.5424000000003</v>
      </c>
      <c r="D200" s="39">
        <v>0</v>
      </c>
      <c r="E200" s="39">
        <v>5430.5575628334536</v>
      </c>
      <c r="F200" s="39">
        <v>8561.5424000000003</v>
      </c>
      <c r="G200" s="39">
        <v>5430.5575628334536</v>
      </c>
    </row>
    <row r="201" spans="1:7" ht="11.25" customHeight="1" x14ac:dyDescent="0.2">
      <c r="A201" s="41" t="s">
        <v>606</v>
      </c>
      <c r="B201" s="39">
        <v>0</v>
      </c>
      <c r="C201" s="39">
        <v>0</v>
      </c>
      <c r="D201" s="39">
        <v>0</v>
      </c>
      <c r="E201" s="39">
        <v>0</v>
      </c>
      <c r="F201" s="39">
        <v>0</v>
      </c>
      <c r="G201" s="39">
        <v>0</v>
      </c>
    </row>
    <row r="202" spans="1:7" ht="11.25" customHeight="1" x14ac:dyDescent="0.2">
      <c r="A202" s="42" t="s">
        <v>22</v>
      </c>
      <c r="B202" s="39">
        <v>0</v>
      </c>
      <c r="C202" s="39">
        <v>0</v>
      </c>
      <c r="D202" s="39">
        <v>0</v>
      </c>
      <c r="E202" s="39">
        <v>0</v>
      </c>
      <c r="F202" s="39">
        <v>0</v>
      </c>
      <c r="G202" s="39">
        <v>0</v>
      </c>
    </row>
    <row r="203" spans="1:7" ht="11.25" customHeight="1" x14ac:dyDescent="0.2">
      <c r="A203" s="43" t="s">
        <v>23</v>
      </c>
      <c r="B203" s="39">
        <v>0</v>
      </c>
      <c r="C203" s="39">
        <v>0</v>
      </c>
      <c r="D203" s="39">
        <v>0</v>
      </c>
      <c r="E203" s="39">
        <v>0</v>
      </c>
      <c r="F203" s="39">
        <v>0</v>
      </c>
      <c r="G203" s="39">
        <v>0</v>
      </c>
    </row>
    <row r="204" spans="1:7" ht="11.25" customHeight="1" x14ac:dyDescent="0.2">
      <c r="A204" s="44" t="s">
        <v>24</v>
      </c>
      <c r="B204" s="39">
        <v>0</v>
      </c>
      <c r="C204" s="39">
        <v>0</v>
      </c>
      <c r="D204" s="39">
        <v>0</v>
      </c>
      <c r="E204" s="39">
        <v>0</v>
      </c>
      <c r="F204" s="39">
        <v>0</v>
      </c>
      <c r="G204" s="39">
        <v>0</v>
      </c>
    </row>
    <row r="205" spans="1:7" ht="11.25" customHeight="1" x14ac:dyDescent="0.2">
      <c r="A205" s="45" t="s">
        <v>24</v>
      </c>
      <c r="B205" s="39">
        <v>0</v>
      </c>
      <c r="C205" s="39">
        <v>0</v>
      </c>
      <c r="D205" s="39">
        <v>0</v>
      </c>
      <c r="E205" s="39">
        <v>0</v>
      </c>
      <c r="F205" s="39">
        <v>0</v>
      </c>
      <c r="G205" s="39">
        <v>0</v>
      </c>
    </row>
    <row r="206" spans="1:7" ht="11.25" customHeight="1" x14ac:dyDescent="0.2">
      <c r="A206" s="46" t="s">
        <v>25</v>
      </c>
      <c r="B206" s="39">
        <v>0</v>
      </c>
      <c r="C206" s="39">
        <v>0</v>
      </c>
      <c r="D206" s="39">
        <v>0</v>
      </c>
      <c r="E206" s="39">
        <v>0</v>
      </c>
      <c r="F206" s="39">
        <v>0</v>
      </c>
      <c r="G206" s="39">
        <v>0</v>
      </c>
    </row>
    <row r="207" spans="1:7" ht="11.25" customHeight="1" x14ac:dyDescent="0.2">
      <c r="A207" s="47" t="s">
        <v>25</v>
      </c>
      <c r="B207" s="39">
        <v>0</v>
      </c>
      <c r="C207" s="39">
        <v>0</v>
      </c>
      <c r="D207" s="39">
        <v>0</v>
      </c>
      <c r="E207" s="39">
        <v>0</v>
      </c>
      <c r="F207" s="39">
        <v>0</v>
      </c>
      <c r="G207" s="39">
        <v>0</v>
      </c>
    </row>
    <row r="208" spans="1:7" ht="11.25" customHeight="1" x14ac:dyDescent="0.2">
      <c r="A208" s="48" t="s">
        <v>25</v>
      </c>
      <c r="B208" s="39">
        <v>0</v>
      </c>
      <c r="C208" s="39">
        <v>0</v>
      </c>
      <c r="D208" s="39">
        <v>0</v>
      </c>
      <c r="E208" s="39">
        <v>0</v>
      </c>
      <c r="F208" s="39">
        <v>0</v>
      </c>
      <c r="G208" s="39">
        <v>0</v>
      </c>
    </row>
    <row r="209" spans="1:7" ht="11.25" customHeight="1" x14ac:dyDescent="0.2">
      <c r="A209" s="49">
        <v>44440</v>
      </c>
      <c r="B209" s="39">
        <v>0</v>
      </c>
      <c r="C209" s="39">
        <v>0</v>
      </c>
      <c r="D209" s="39">
        <v>0</v>
      </c>
      <c r="E209" s="39">
        <v>0</v>
      </c>
      <c r="F209" s="39">
        <v>0</v>
      </c>
      <c r="G209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0B56-BAD6-4370-8682-ECDFBE60427B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94" t="s">
        <v>672</v>
      </c>
      <c r="B1" s="110"/>
      <c r="C1" s="110"/>
      <c r="D1" s="110"/>
      <c r="E1" s="110"/>
      <c r="F1" s="110"/>
      <c r="G1" s="110"/>
      <c r="H1" s="110"/>
      <c r="I1" s="110"/>
      <c r="J1" s="110"/>
      <c r="L1" s="94" t="s">
        <v>682</v>
      </c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1:22" ht="11.25" customHeight="1" x14ac:dyDescent="0.3">
      <c r="A2" s="106" t="s">
        <v>58</v>
      </c>
      <c r="B2" s="106" t="s">
        <v>59</v>
      </c>
      <c r="C2" s="106" t="s">
        <v>673</v>
      </c>
      <c r="D2" s="106" t="s">
        <v>64</v>
      </c>
      <c r="E2" s="106" t="s">
        <v>674</v>
      </c>
      <c r="F2" s="109"/>
      <c r="G2" s="109"/>
      <c r="H2" s="106" t="s">
        <v>437</v>
      </c>
      <c r="I2" s="109"/>
      <c r="J2" s="109"/>
      <c r="L2" s="106" t="s">
        <v>58</v>
      </c>
      <c r="M2" s="106" t="s">
        <v>59</v>
      </c>
      <c r="N2" s="106" t="s">
        <v>60</v>
      </c>
      <c r="O2" s="106" t="s">
        <v>61</v>
      </c>
      <c r="P2" s="106" t="s">
        <v>64</v>
      </c>
      <c r="Q2" s="106" t="s">
        <v>674</v>
      </c>
      <c r="R2" s="111"/>
      <c r="S2" s="111"/>
      <c r="T2" s="106" t="s">
        <v>437</v>
      </c>
      <c r="U2" s="111"/>
      <c r="V2" s="111"/>
    </row>
    <row r="3" spans="1:22" ht="11.25" customHeight="1" x14ac:dyDescent="0.3">
      <c r="A3" s="109"/>
      <c r="B3" s="109"/>
      <c r="C3" s="109"/>
      <c r="D3" s="109"/>
      <c r="E3" s="106" t="s">
        <v>395</v>
      </c>
      <c r="F3" s="109"/>
      <c r="G3" s="30" t="s">
        <v>423</v>
      </c>
      <c r="H3" s="106" t="s">
        <v>395</v>
      </c>
      <c r="I3" s="109"/>
      <c r="J3" s="30" t="s">
        <v>423</v>
      </c>
      <c r="L3" s="111"/>
      <c r="M3" s="111"/>
      <c r="N3" s="111"/>
      <c r="O3" s="111"/>
      <c r="P3" s="111"/>
      <c r="Q3" s="106" t="s">
        <v>395</v>
      </c>
      <c r="R3" s="111"/>
      <c r="S3" s="30" t="s">
        <v>423</v>
      </c>
      <c r="T3" s="106" t="s">
        <v>395</v>
      </c>
      <c r="U3" s="111"/>
      <c r="V3" s="30" t="s">
        <v>423</v>
      </c>
    </row>
    <row r="4" spans="1:22" ht="11.25" customHeight="1" x14ac:dyDescent="0.3">
      <c r="A4" s="109"/>
      <c r="B4" s="109"/>
      <c r="C4" s="109"/>
      <c r="D4" s="109"/>
      <c r="E4" s="30" t="s">
        <v>675</v>
      </c>
      <c r="F4" s="30" t="s">
        <v>676</v>
      </c>
      <c r="G4" s="30" t="s">
        <v>676</v>
      </c>
      <c r="H4" s="30" t="s">
        <v>675</v>
      </c>
      <c r="I4" s="30" t="s">
        <v>676</v>
      </c>
      <c r="J4" s="30" t="s">
        <v>676</v>
      </c>
      <c r="L4" s="111"/>
      <c r="M4" s="111"/>
      <c r="N4" s="111"/>
      <c r="O4" s="111"/>
      <c r="P4" s="111"/>
      <c r="Q4" s="30" t="s">
        <v>675</v>
      </c>
      <c r="R4" s="30" t="s">
        <v>676</v>
      </c>
      <c r="S4" s="30" t="s">
        <v>676</v>
      </c>
      <c r="T4" s="30" t="s">
        <v>675</v>
      </c>
      <c r="U4" s="30" t="s">
        <v>676</v>
      </c>
      <c r="V4" s="30" t="s">
        <v>676</v>
      </c>
    </row>
    <row r="5" spans="1:22" ht="11.25" customHeight="1" x14ac:dyDescent="0.3">
      <c r="A5" s="108" t="s">
        <v>38</v>
      </c>
      <c r="B5" s="108" t="s">
        <v>73</v>
      </c>
      <c r="C5" s="108" t="s">
        <v>25</v>
      </c>
      <c r="D5" s="31" t="s">
        <v>677</v>
      </c>
      <c r="E5" s="29">
        <f ca="1">ROUND('TUSD BE'!$AM$5+'TUSD BF'!$AM$5+'TUSD CVA'!$AM$5,2)</f>
        <v>100.2</v>
      </c>
      <c r="F5" s="29">
        <f ca="1">ROUND('TUSD BE'!$AM$7+'TUSD BF'!$AM$7+'TUSD CVA'!$AM$7,2)</f>
        <v>126.58</v>
      </c>
      <c r="G5" s="29">
        <f>ROUND('TE BE'!$AB$5+'TE BF'!$AB$5+'TE CVA'!$AB$5,2)</f>
        <v>269.20999999999998</v>
      </c>
      <c r="H5" s="29">
        <f ca="1">ROUND('TUSD BE'!$AM$5,2)</f>
        <v>146.91999999999999</v>
      </c>
      <c r="I5" s="29">
        <f ca="1">ROUND('TUSD BE'!$AM$7,2)</f>
        <v>127.36</v>
      </c>
      <c r="J5" s="29">
        <f>ROUND('TE BE'!$AB$5,2)</f>
        <v>274.93</v>
      </c>
      <c r="L5" s="112" t="s">
        <v>22</v>
      </c>
      <c r="M5" s="112" t="s">
        <v>683</v>
      </c>
      <c r="N5" s="112" t="s">
        <v>684</v>
      </c>
      <c r="O5" s="112" t="s">
        <v>684</v>
      </c>
      <c r="P5" s="31" t="s">
        <v>677</v>
      </c>
      <c r="Q5" s="29">
        <v>0</v>
      </c>
      <c r="R5" s="29">
        <f ca="1">ROUND('TUSD BE'!$AM$17+'TUSD BF'!$AM$17+'TUSD CVA'!$AM$17,2)</f>
        <v>1092.52</v>
      </c>
      <c r="S5" s="29">
        <f>ROUND('TE BE'!$AB$8+'TE BF'!$AB$8+'TE CVA'!$AB$8,2)</f>
        <v>269.20999999999998</v>
      </c>
      <c r="T5" s="29">
        <v>0</v>
      </c>
      <c r="U5" s="29">
        <f ca="1">ROUND('TUSD BE'!$AM$17,2)</f>
        <v>1494.06</v>
      </c>
      <c r="V5" s="29">
        <f>ROUND('TE BE'!$AB$8,2)</f>
        <v>274.93</v>
      </c>
    </row>
    <row r="6" spans="1:22" ht="11.25" customHeight="1" x14ac:dyDescent="0.3">
      <c r="A6" s="109"/>
      <c r="B6" s="109"/>
      <c r="C6" s="109"/>
      <c r="D6" s="31" t="s">
        <v>678</v>
      </c>
      <c r="E6" s="29">
        <f ca="1">ROUND('TUSD BE'!$AM$6+'TUSD BF'!$AM$6+'TUSD CVA'!$AM$6,2)</f>
        <v>32.21</v>
      </c>
      <c r="F6" s="29">
        <f ca="1">ROUND('TUSD BE'!$AM$7+'TUSD BF'!$AM$7+'TUSD CVA'!$AM$7,2)</f>
        <v>126.58</v>
      </c>
      <c r="G6" s="29">
        <f>ROUND('TE BE'!$AB$6+'TE BF'!$AB$6+'TE CVA'!$AB$6,2)</f>
        <v>269.20999999999998</v>
      </c>
      <c r="H6" s="29">
        <f ca="1">ROUND('TUSD BE'!$AM$6,2)</f>
        <v>43.8</v>
      </c>
      <c r="I6" s="29">
        <f ca="1">ROUND('TUSD BE'!$AM$7,2)</f>
        <v>127.36</v>
      </c>
      <c r="J6" s="29">
        <f>ROUND('TE BE'!$AB$6,2)</f>
        <v>274.93</v>
      </c>
      <c r="L6" s="113"/>
      <c r="M6" s="113"/>
      <c r="N6" s="113"/>
      <c r="O6" s="113"/>
      <c r="P6" s="31" t="s">
        <v>685</v>
      </c>
      <c r="Q6" s="29">
        <v>0</v>
      </c>
      <c r="R6" s="29">
        <f ca="1">ROUND('TUSD BE'!$AM$18+'TUSD BF'!$AM$18+'TUSD CVA'!$AM$18,2)</f>
        <v>721.8</v>
      </c>
      <c r="S6" s="29">
        <f>ROUND('TE BE'!$AB$9+'TE BF'!$AB$9+'TE CVA'!$AB$9,2)</f>
        <v>269.20999999999998</v>
      </c>
      <c r="T6" s="29">
        <v>0</v>
      </c>
      <c r="U6" s="29">
        <f ca="1">ROUND('TUSD BE'!$AM$18,2)</f>
        <v>963.24</v>
      </c>
      <c r="V6" s="29">
        <f>ROUND('TE BE'!$AB$9,2)</f>
        <v>274.93</v>
      </c>
    </row>
    <row r="7" spans="1:22" ht="11.25" customHeight="1" x14ac:dyDescent="0.3">
      <c r="A7" s="109"/>
      <c r="B7" s="108" t="s">
        <v>679</v>
      </c>
      <c r="C7" s="108" t="s">
        <v>25</v>
      </c>
      <c r="D7" s="31" t="s">
        <v>677</v>
      </c>
      <c r="E7" s="29">
        <f ca="1">ROUND('TUSD BE'!$AM$5+'TUSD BF'!$AM$5+'TUSD CVA'!$AM$5,2)</f>
        <v>100.2</v>
      </c>
      <c r="F7" s="29">
        <f ca="1">ROUND('TUSD BE'!$AM$8+'TUSD BF'!$AM$8+'TUSD CVA'!$AM$8,2)</f>
        <v>12.33</v>
      </c>
      <c r="G7" s="29">
        <v>0</v>
      </c>
      <c r="H7" s="29">
        <f ca="1">ROUND('TUSD BE'!$AM$5,2)</f>
        <v>146.91999999999999</v>
      </c>
      <c r="I7" s="29">
        <f ca="1">ROUND('TUSD BE'!$AM$8,2)</f>
        <v>12.57</v>
      </c>
      <c r="J7" s="29">
        <v>0</v>
      </c>
      <c r="L7" s="113"/>
      <c r="M7" s="114"/>
      <c r="N7" s="114"/>
      <c r="O7" s="114"/>
      <c r="P7" s="31" t="s">
        <v>678</v>
      </c>
      <c r="Q7" s="29">
        <v>0</v>
      </c>
      <c r="R7" s="29">
        <f ca="1">ROUND('TUSD BE'!$AM$19+'TUSD BF'!$AM$19+'TUSD CVA'!$AM$19,2)</f>
        <v>351.07</v>
      </c>
      <c r="S7" s="29">
        <f>ROUND('TE BE'!$AB$10+'TE BF'!$AB$10+'TE CVA'!$AB$10,2)</f>
        <v>269.20999999999998</v>
      </c>
      <c r="T7" s="29">
        <v>0</v>
      </c>
      <c r="U7" s="29">
        <f ca="1">ROUND('TUSD BE'!$AM$19,2)</f>
        <v>432.42</v>
      </c>
      <c r="V7" s="29">
        <f>ROUND('TE BE'!$AB$10,2)</f>
        <v>274.93</v>
      </c>
    </row>
    <row r="8" spans="1:22" ht="11.25" customHeight="1" x14ac:dyDescent="0.3">
      <c r="A8" s="109"/>
      <c r="B8" s="109"/>
      <c r="C8" s="109"/>
      <c r="D8" s="31" t="s">
        <v>678</v>
      </c>
      <c r="E8" s="29">
        <f ca="1">ROUND('TUSD BE'!$AM$6+'TUSD BF'!$AM$6+'TUSD CVA'!$AM$6,2)</f>
        <v>32.21</v>
      </c>
      <c r="F8" s="29">
        <f ca="1">ROUND('TUSD BE'!$AM$8+'TUSD BF'!$AM$8+'TUSD CVA'!$AM$8,2)</f>
        <v>12.33</v>
      </c>
      <c r="G8" s="29">
        <v>0</v>
      </c>
      <c r="H8" s="29">
        <f ca="1">ROUND('TUSD BE'!$AM$6,2)</f>
        <v>43.8</v>
      </c>
      <c r="I8" s="29">
        <f ca="1">ROUND('TUSD BE'!$AM$8,2)</f>
        <v>12.57</v>
      </c>
      <c r="J8" s="29">
        <v>0</v>
      </c>
      <c r="L8" s="113"/>
      <c r="M8" s="31" t="s">
        <v>686</v>
      </c>
      <c r="N8" s="31" t="s">
        <v>684</v>
      </c>
      <c r="O8" s="31" t="s">
        <v>684</v>
      </c>
      <c r="P8" s="31" t="s">
        <v>680</v>
      </c>
      <c r="Q8" s="29">
        <v>0</v>
      </c>
      <c r="R8" s="29">
        <f ca="1">ROUND('TUSD BE'!$AM$25+'TUSD BF'!$AM$25+'TUSD CVA'!$AM$25,2)</f>
        <v>485.29</v>
      </c>
      <c r="S8" s="29">
        <f>ROUND('TE BE'!$AB$16+'TE BF'!$AB$16+'TE CVA'!$AB$16,2)</f>
        <v>269.20999999999998</v>
      </c>
      <c r="T8" s="29">
        <v>0</v>
      </c>
      <c r="U8" s="29">
        <f ca="1">ROUND('TUSD BE'!$AM$25,2)</f>
        <v>624.6</v>
      </c>
      <c r="V8" s="29">
        <f>ROUND('TE BE'!$AB$16,2)</f>
        <v>274.93</v>
      </c>
    </row>
    <row r="9" spans="1:22" ht="11.25" customHeight="1" x14ac:dyDescent="0.3">
      <c r="A9" s="109"/>
      <c r="B9" s="108" t="s">
        <v>39</v>
      </c>
      <c r="C9" s="108" t="s">
        <v>25</v>
      </c>
      <c r="D9" s="31" t="s">
        <v>680</v>
      </c>
      <c r="E9" s="29">
        <f ca="1">ROUND('TUSD BE'!$AM$10+'TUSD BF'!$AM$10+'TUSD CVA'!$AM$10,2)</f>
        <v>32.21</v>
      </c>
      <c r="F9" s="29">
        <v>0</v>
      </c>
      <c r="G9" s="29">
        <v>0</v>
      </c>
      <c r="H9" s="29">
        <f ca="1">ROUND('TUSD BE'!$AM$10,2)</f>
        <v>43.8</v>
      </c>
      <c r="I9" s="29">
        <v>0</v>
      </c>
      <c r="J9" s="29">
        <v>0</v>
      </c>
      <c r="L9" s="113"/>
      <c r="M9" s="31" t="s">
        <v>688</v>
      </c>
      <c r="N9" s="31" t="s">
        <v>684</v>
      </c>
      <c r="O9" s="31" t="s">
        <v>684</v>
      </c>
      <c r="P9" s="31" t="s">
        <v>680</v>
      </c>
      <c r="Q9" s="29">
        <v>0</v>
      </c>
      <c r="R9" s="29">
        <f ca="1">ROUND('TUSD BE'!$AM$20+'TUSD BF'!$AM$20+'TUSD CVA'!$AM$20,2)</f>
        <v>485.29</v>
      </c>
      <c r="S9" s="29">
        <f>ROUND('TE BE'!$AB$11+'TE BF'!$AB$11+'TE CVA'!$AB$11,2)</f>
        <v>269.20999999999998</v>
      </c>
      <c r="T9" s="29">
        <v>0</v>
      </c>
      <c r="U9" s="29">
        <f ca="1">ROUND('TUSD BE'!$AM$20,2)</f>
        <v>624.6</v>
      </c>
      <c r="V9" s="29">
        <f>ROUND('TE BE'!$AB$11,2)</f>
        <v>274.93</v>
      </c>
    </row>
    <row r="10" spans="1:22" ht="11.25" customHeight="1" x14ac:dyDescent="0.3">
      <c r="A10" s="109"/>
      <c r="B10" s="109"/>
      <c r="C10" s="109"/>
      <c r="D10" s="31" t="s">
        <v>677</v>
      </c>
      <c r="E10" s="29">
        <v>0</v>
      </c>
      <c r="F10" s="29">
        <f ca="1">ROUND('TUSD BE'!$AM$11+'TUSD BF'!$AM$11+'TUSD CVA'!$AM$11,2)</f>
        <v>2536.27</v>
      </c>
      <c r="G10" s="29">
        <f>ROUND('TE BE'!$AB$5+'TE BF'!$AB$5+'TE CVA'!$AB$5,2)</f>
        <v>269.20999999999998</v>
      </c>
      <c r="H10" s="29">
        <v>0</v>
      </c>
      <c r="I10" s="29">
        <f ca="1">ROUND('TUSD BE'!$AM$11,2)</f>
        <v>3660.78</v>
      </c>
      <c r="J10" s="29">
        <f>ROUND('TE BE'!$AB$5,2)</f>
        <v>274.93</v>
      </c>
      <c r="L10" s="113"/>
      <c r="M10" s="31" t="s">
        <v>686</v>
      </c>
      <c r="N10" s="31" t="s">
        <v>684</v>
      </c>
      <c r="O10" s="31" t="s">
        <v>687</v>
      </c>
      <c r="P10" s="31" t="s">
        <v>680</v>
      </c>
      <c r="Q10" s="29">
        <v>0</v>
      </c>
      <c r="R10" s="29">
        <f ca="1">ROUND('TUSD BE'!$AM$26+'TUSD BF'!$AM$26+'TUSD CVA'!$AM$26,2)</f>
        <v>351.99</v>
      </c>
      <c r="S10" s="29">
        <f>ROUND('TE BE'!$AB$17+'TE BF'!$AB$17+'TE CVA'!$AB$17,2)</f>
        <v>269.20999999999998</v>
      </c>
      <c r="T10" s="29">
        <v>0</v>
      </c>
      <c r="U10" s="29">
        <f ca="1">ROUND('TUSD BE'!$AM$26,2)</f>
        <v>490.67</v>
      </c>
      <c r="V10" s="29">
        <f>ROUND('TE BE'!$AB$17,2)</f>
        <v>274.93</v>
      </c>
    </row>
    <row r="11" spans="1:22" ht="11.25" customHeight="1" x14ac:dyDescent="0.3">
      <c r="A11" s="109"/>
      <c r="B11" s="109"/>
      <c r="C11" s="109"/>
      <c r="D11" s="31" t="s">
        <v>678</v>
      </c>
      <c r="E11" s="29">
        <v>0</v>
      </c>
      <c r="F11" s="29">
        <f ca="1">ROUND('TUSD BE'!$AM$12+'TUSD BF'!$AM$12+'TUSD CVA'!$AM$12,2)</f>
        <v>126.58</v>
      </c>
      <c r="G11" s="29">
        <f>ROUND('TE BE'!$AB$6+'TE BF'!$AB$6+'TE CVA'!$AB$6,2)</f>
        <v>269.20999999999998</v>
      </c>
      <c r="H11" s="29">
        <v>0</v>
      </c>
      <c r="I11" s="29">
        <f ca="1">ROUND('TUSD BE'!$AM$12,2)</f>
        <v>127.36</v>
      </c>
      <c r="J11" s="29">
        <f>ROUND('TE BE'!$AB$6,2)</f>
        <v>274.93</v>
      </c>
      <c r="L11" s="114"/>
      <c r="M11" s="31" t="s">
        <v>688</v>
      </c>
      <c r="N11" s="31" t="s">
        <v>684</v>
      </c>
      <c r="O11" s="31" t="s">
        <v>687</v>
      </c>
      <c r="P11" s="31" t="s">
        <v>680</v>
      </c>
      <c r="Q11" s="29">
        <v>0</v>
      </c>
      <c r="R11" s="29">
        <f ca="1">ROUND('TUSD BE'!$AM$21+'TUSD BF'!$AM$21+'TUSD CVA'!$AM$21,2)</f>
        <v>351.99</v>
      </c>
      <c r="S11" s="29">
        <f>ROUND('TE BE'!$AB$12+'TE BF'!$AB$12+'TE CVA'!$AB$12,2)</f>
        <v>269.20999999999998</v>
      </c>
      <c r="T11" s="29">
        <v>0</v>
      </c>
      <c r="U11" s="29">
        <f ca="1">ROUND('TUSD BE'!$AM$21,2)</f>
        <v>490.67</v>
      </c>
      <c r="V11" s="29">
        <f>ROUND('TE BE'!$AB$12,2)</f>
        <v>274.93</v>
      </c>
    </row>
    <row r="12" spans="1:22" ht="11.25" customHeight="1" x14ac:dyDescent="0.3">
      <c r="A12" s="109"/>
      <c r="B12" s="108" t="s">
        <v>681</v>
      </c>
      <c r="C12" s="108" t="s">
        <v>25</v>
      </c>
      <c r="D12" s="31" t="s">
        <v>680</v>
      </c>
      <c r="E12" s="29">
        <f ca="1">ROUND('TUSD BE'!$AM$10+'TUSD BF'!$AM$10+'TUSD CVA'!$AM$10,2)</f>
        <v>32.21</v>
      </c>
      <c r="F12" s="29">
        <v>0</v>
      </c>
      <c r="G12" s="29">
        <v>0</v>
      </c>
      <c r="H12" s="29">
        <f ca="1">ROUND('TUSD BE'!$AM$10,2)</f>
        <v>43.8</v>
      </c>
      <c r="I12" s="29">
        <v>0</v>
      </c>
      <c r="J12" s="29">
        <v>0</v>
      </c>
      <c r="L12" s="112" t="s">
        <v>41</v>
      </c>
      <c r="M12" s="112" t="s">
        <v>683</v>
      </c>
      <c r="N12" s="112" t="s">
        <v>689</v>
      </c>
      <c r="O12" s="112" t="s">
        <v>690</v>
      </c>
      <c r="P12" s="31" t="s">
        <v>677</v>
      </c>
      <c r="Q12" s="29">
        <v>0</v>
      </c>
      <c r="R12" s="29">
        <f ca="1">ROUND(('TUSD BE'!$AM$30+'TUSD BF'!$AM$30+'TUSD CVA'!$AM$30)*(1-CUSTOS!$M$38),2)</f>
        <v>1087.05</v>
      </c>
      <c r="S12" s="29">
        <f>ROUND(('TE BE'!$AB$21+'TE BF'!$AB$21+'TE CVA'!$AB$21)*(1-CUSTOS!$M$38),2)</f>
        <v>253.06</v>
      </c>
      <c r="T12" s="29">
        <v>0</v>
      </c>
      <c r="U12" s="29">
        <f ca="1">ROUND('TUSD BE'!$AM$30*(1-CUSTOS!$M$38),2)</f>
        <v>1490.44</v>
      </c>
      <c r="V12" s="29">
        <f>ROUND('TE BE'!$AB$21*(1-CUSTOS!$M$38),2)</f>
        <v>258.43</v>
      </c>
    </row>
    <row r="13" spans="1:22" ht="11.25" customHeight="1" x14ac:dyDescent="0.3">
      <c r="A13" s="109"/>
      <c r="B13" s="109"/>
      <c r="C13" s="109"/>
      <c r="D13" s="31" t="s">
        <v>677</v>
      </c>
      <c r="E13" s="29">
        <v>0</v>
      </c>
      <c r="F13" s="29">
        <f ca="1">ROUND('TUSD BE'!$AM$13+'TUSD BF'!$AM$13+'TUSD CVA'!$AM$13,2)</f>
        <v>2422.02</v>
      </c>
      <c r="G13" s="29">
        <v>0</v>
      </c>
      <c r="H13" s="29">
        <v>0</v>
      </c>
      <c r="I13" s="29">
        <f ca="1">ROUND('TUSD BE'!$AM$13,2)</f>
        <v>3546</v>
      </c>
      <c r="J13" s="29">
        <v>0</v>
      </c>
      <c r="L13" s="113"/>
      <c r="M13" s="113"/>
      <c r="N13" s="113"/>
      <c r="O13" s="113"/>
      <c r="P13" s="31" t="s">
        <v>685</v>
      </c>
      <c r="Q13" s="29">
        <v>0</v>
      </c>
      <c r="R13" s="29">
        <f ca="1">ROUND(('TUSD BE'!$AM$31+'TUSD BF'!$AM$31+'TUSD CVA'!$AM$31)*(1-CUSTOS!$M$38),2)</f>
        <v>714.54</v>
      </c>
      <c r="S13" s="29">
        <f>ROUND(('TE BE'!$AB$22+'TE BF'!$AB$22+'TE CVA'!$AB$22)*(1-CUSTOS!$M$38),2)</f>
        <v>253.06</v>
      </c>
      <c r="T13" s="29">
        <v>0</v>
      </c>
      <c r="U13" s="29">
        <f ca="1">ROUND('TUSD BE'!$AM$31*(1-CUSTOS!$M$38),2)</f>
        <v>957.06</v>
      </c>
      <c r="V13" s="29">
        <f>ROUND('TE BE'!$AB$22*(1-CUSTOS!$M$38),2)</f>
        <v>258.43</v>
      </c>
    </row>
    <row r="14" spans="1:22" ht="11.25" customHeight="1" x14ac:dyDescent="0.3">
      <c r="A14" s="109"/>
      <c r="B14" s="109"/>
      <c r="C14" s="109"/>
      <c r="D14" s="31" t="s">
        <v>678</v>
      </c>
      <c r="E14" s="29">
        <v>0</v>
      </c>
      <c r="F14" s="29">
        <f ca="1">ROUND('TUSD BE'!$AM$14+'TUSD BF'!$AM$14+'TUSD CVA'!$AM$14,2)</f>
        <v>12.33</v>
      </c>
      <c r="G14" s="29">
        <v>0</v>
      </c>
      <c r="H14" s="29">
        <v>0</v>
      </c>
      <c r="I14" s="29">
        <f ca="1">ROUND('TUSD BE'!$AM$14,2)</f>
        <v>12.57</v>
      </c>
      <c r="J14" s="29">
        <v>0</v>
      </c>
      <c r="L14" s="113"/>
      <c r="M14" s="114"/>
      <c r="N14" s="114"/>
      <c r="O14" s="114"/>
      <c r="P14" s="31" t="s">
        <v>678</v>
      </c>
      <c r="Q14" s="29">
        <v>0</v>
      </c>
      <c r="R14" s="29">
        <f ca="1">ROUND(('TUSD BE'!$AM$32+'TUSD BF'!$AM$32+'TUSD CVA'!$AM$32)*(1-CUSTOS!$M$38),2)</f>
        <v>342.02</v>
      </c>
      <c r="S14" s="29">
        <f>ROUND(('TE BE'!$AB$23+'TE BF'!$AB$23+'TE CVA'!$AB$23)*(1-CUSTOS!$M$38),2)</f>
        <v>253.06</v>
      </c>
      <c r="T14" s="29">
        <v>0</v>
      </c>
      <c r="U14" s="29">
        <f ca="1">ROUND('TUSD BE'!$AM$32*(1-CUSTOS!$M$38),2)</f>
        <v>423.68</v>
      </c>
      <c r="V14" s="29">
        <f>ROUND('TE BE'!$AB$23*(1-CUSTOS!$M$38),2)</f>
        <v>258.43</v>
      </c>
    </row>
    <row r="15" spans="1:22" ht="11.25" customHeight="1" x14ac:dyDescent="0.3">
      <c r="A15" s="109"/>
      <c r="B15" s="31" t="s">
        <v>78</v>
      </c>
      <c r="C15" s="31" t="s">
        <v>25</v>
      </c>
      <c r="D15" s="31" t="s">
        <v>680</v>
      </c>
      <c r="E15" s="29">
        <f ca="1">ROUND('TUSD BE'!$AM$9+'TUSD BF'!$AM$9+'TUSD CVA'!$AM$9,2)</f>
        <v>10.34</v>
      </c>
      <c r="F15" s="29">
        <v>0</v>
      </c>
      <c r="G15" s="29">
        <v>0</v>
      </c>
      <c r="H15" s="29">
        <f ca="1">ROUND('TUSD BE'!$AM$9,2)</f>
        <v>17.78</v>
      </c>
      <c r="I15" s="29">
        <v>0</v>
      </c>
      <c r="J15" s="29">
        <v>0</v>
      </c>
      <c r="L15" s="113"/>
      <c r="M15" s="31" t="s">
        <v>686</v>
      </c>
      <c r="N15" s="31" t="s">
        <v>689</v>
      </c>
      <c r="O15" s="31" t="s">
        <v>690</v>
      </c>
      <c r="P15" s="31" t="s">
        <v>680</v>
      </c>
      <c r="Q15" s="29">
        <v>0</v>
      </c>
      <c r="R15" s="29">
        <f ca="1">ROUND(('TUSD BE'!$AM$42+'TUSD BF'!$AM$42+'TUSD CVA'!$AM$42)*(1-CUSTOS!$M$38),2)</f>
        <v>456.17</v>
      </c>
      <c r="S15" s="29">
        <f>ROUND(('TE BE'!$AB$33+'TE BF'!$AB$33+'TE CVA'!$AB$33)*(1-CUSTOS!$M$38),2)</f>
        <v>253.06</v>
      </c>
      <c r="T15" s="29">
        <v>0</v>
      </c>
      <c r="U15" s="29">
        <f ca="1">ROUND(('TUSD BE'!$AM$42)*(1-CUSTOS!$M$38),2)</f>
        <v>587.13</v>
      </c>
      <c r="V15" s="29">
        <f>ROUND(('TE BE'!$AB$33)*(1-CUSTOS!$M$38),2)</f>
        <v>258.43</v>
      </c>
    </row>
    <row r="16" spans="1:22" ht="11.25" customHeight="1" x14ac:dyDescent="0.3">
      <c r="L16" s="113"/>
      <c r="M16" s="31" t="s">
        <v>688</v>
      </c>
      <c r="N16" s="31" t="s">
        <v>689</v>
      </c>
      <c r="O16" s="31" t="s">
        <v>690</v>
      </c>
      <c r="P16" s="31" t="s">
        <v>680</v>
      </c>
      <c r="Q16" s="29">
        <v>0</v>
      </c>
      <c r="R16" s="29">
        <f ca="1">ROUND(('TUSD BE'!$AM$33+'TUSD BF'!$AM$33+'TUSD CVA'!$AM$33)*(1-CUSTOS!$M$38),2)</f>
        <v>456.17</v>
      </c>
      <c r="S16" s="29">
        <f>ROUND(('TE BE'!$AB$24+'TE BF'!$AB$24+'TE CVA'!$AB$24)*(1-CUSTOS!$M$38),2)</f>
        <v>253.06</v>
      </c>
      <c r="T16" s="29">
        <v>0</v>
      </c>
      <c r="U16" s="29">
        <f ca="1">ROUND(('TUSD BE'!$AM$33)*(1-CUSTOS!$M$38),2)</f>
        <v>587.13</v>
      </c>
      <c r="V16" s="29">
        <f>ROUND(('TE BE'!$AB$24)*(1-CUSTOS!$M$38),2)</f>
        <v>258.43</v>
      </c>
    </row>
    <row r="17" spans="12:22" ht="11.25" customHeight="1" x14ac:dyDescent="0.3">
      <c r="L17" s="113"/>
      <c r="M17" s="112" t="s">
        <v>683</v>
      </c>
      <c r="N17" s="112" t="s">
        <v>689</v>
      </c>
      <c r="O17" s="112" t="s">
        <v>691</v>
      </c>
      <c r="P17" s="31" t="s">
        <v>677</v>
      </c>
      <c r="Q17" s="29">
        <v>0</v>
      </c>
      <c r="R17" s="29">
        <f ca="1">ROUND(('TUSD BE'!$AM$34+'TUSD BF'!$AM$34+'TUSD CVA'!$AM$34)*(1-CUSTOS!$M$39),2)</f>
        <v>1087.05</v>
      </c>
      <c r="S17" s="29">
        <f>ROUND(('TE BE'!$AB$25+'TE BF'!$AB$25+'TE CVA'!$AB$25)*(1-CUSTOS!$M$39),2)</f>
        <v>253.06</v>
      </c>
      <c r="T17" s="29">
        <v>0</v>
      </c>
      <c r="U17" s="29">
        <f ca="1">ROUND('TUSD BE'!$AM$34*(1-CUSTOS!$M$39),2)</f>
        <v>1490.44</v>
      </c>
      <c r="V17" s="29">
        <f>ROUND('TE BE'!$AB$25*(1-CUSTOS!$M$39),2)</f>
        <v>258.43</v>
      </c>
    </row>
    <row r="18" spans="12:22" ht="11.25" customHeight="1" x14ac:dyDescent="0.3">
      <c r="L18" s="113"/>
      <c r="M18" s="113"/>
      <c r="N18" s="113"/>
      <c r="O18" s="113"/>
      <c r="P18" s="31" t="s">
        <v>685</v>
      </c>
      <c r="Q18" s="29">
        <v>0</v>
      </c>
      <c r="R18" s="29">
        <f ca="1">ROUND(('TUSD BE'!$AM$35+'TUSD BF'!$AM$35+'TUSD CVA'!$AM$35)*(1-CUSTOS!$M$39),2)</f>
        <v>714.54</v>
      </c>
      <c r="S18" s="29">
        <f>ROUND(('TE BE'!$AB$26+'TE BF'!$AB$26+'TE CVA'!$AB$26)*(1-CUSTOS!$M$39),2)</f>
        <v>253.06</v>
      </c>
      <c r="T18" s="29">
        <v>0</v>
      </c>
      <c r="U18" s="29">
        <f ca="1">ROUND('TUSD BE'!$AM$35*(1-CUSTOS!$M$39),2)</f>
        <v>957.06</v>
      </c>
      <c r="V18" s="29">
        <f>ROUND('TE BE'!$AB$26*(1-CUSTOS!$M$39),2)</f>
        <v>258.43</v>
      </c>
    </row>
    <row r="19" spans="12:22" ht="11.25" customHeight="1" x14ac:dyDescent="0.3">
      <c r="L19" s="113"/>
      <c r="M19" s="114"/>
      <c r="N19" s="114"/>
      <c r="O19" s="114"/>
      <c r="P19" s="31" t="s">
        <v>678</v>
      </c>
      <c r="Q19" s="29">
        <v>0</v>
      </c>
      <c r="R19" s="29">
        <f ca="1">ROUND(('TUSD BE'!$AM$36+'TUSD BF'!$AM$36+'TUSD CVA'!$AM$36)*(1-CUSTOS!$M$39),2)</f>
        <v>342.02</v>
      </c>
      <c r="S19" s="29">
        <f>ROUND(('TE BE'!$AB$27+'TE BF'!$AB$27+'TE CVA'!$AB$27)*(1-CUSTOS!$M$39),2)</f>
        <v>253.06</v>
      </c>
      <c r="T19" s="29">
        <v>0</v>
      </c>
      <c r="U19" s="29">
        <f ca="1">ROUND('TUSD BE'!$AM$36*(1-CUSTOS!$M$39),2)</f>
        <v>423.68</v>
      </c>
      <c r="V19" s="29">
        <f>ROUND('TE BE'!$AB$27*(1-CUSTOS!$M$39),2)</f>
        <v>258.43</v>
      </c>
    </row>
    <row r="20" spans="12:22" ht="11.25" customHeight="1" x14ac:dyDescent="0.3">
      <c r="L20" s="113"/>
      <c r="M20" s="31" t="s">
        <v>686</v>
      </c>
      <c r="N20" s="31" t="s">
        <v>689</v>
      </c>
      <c r="O20" s="31" t="s">
        <v>691</v>
      </c>
      <c r="P20" s="31" t="s">
        <v>680</v>
      </c>
      <c r="Q20" s="29">
        <v>0</v>
      </c>
      <c r="R20" s="29">
        <f ca="1">ROUND(('TUSD BE'!$AM$42+'TUSD BF'!$AM$42+'TUSD CVA'!$AM$42)*(1-CUSTOS!$M$39),2)</f>
        <v>456.17</v>
      </c>
      <c r="S20" s="29">
        <f>ROUND(('TE BE'!$AB$33+'TE BF'!$AB$33+'TE CVA'!$AB$33)*(1-CUSTOS!$M$39),2)</f>
        <v>253.06</v>
      </c>
      <c r="T20" s="29">
        <v>0</v>
      </c>
      <c r="U20" s="29">
        <f ca="1">ROUND(('TUSD BE'!$AM$42)*(1-CUSTOS!$M$39),2)</f>
        <v>587.13</v>
      </c>
      <c r="V20" s="29">
        <f>ROUND(('TE BE'!$AB$33)*(1-CUSTOS!$M$39),2)</f>
        <v>258.43</v>
      </c>
    </row>
    <row r="21" spans="12:22" ht="11.25" customHeight="1" x14ac:dyDescent="0.3">
      <c r="L21" s="113"/>
      <c r="M21" s="31" t="s">
        <v>688</v>
      </c>
      <c r="N21" s="31" t="s">
        <v>689</v>
      </c>
      <c r="O21" s="31" t="s">
        <v>691</v>
      </c>
      <c r="P21" s="31" t="s">
        <v>680</v>
      </c>
      <c r="Q21" s="29">
        <v>0</v>
      </c>
      <c r="R21" s="29">
        <f ca="1">ROUND(('TUSD BE'!$AM$33+'TUSD BF'!$AM$33+'TUSD CVA'!$AM$33)*(1-CUSTOS!$M$39),2)</f>
        <v>456.17</v>
      </c>
      <c r="S21" s="29">
        <f>ROUND(('TE BE'!$AB$24+'TE BF'!$AB$24+'TE CVA'!$AB$24)*(1-CUSTOS!$M$39),2)</f>
        <v>253.06</v>
      </c>
      <c r="T21" s="29">
        <v>0</v>
      </c>
      <c r="U21" s="29">
        <f ca="1">ROUND(('TUSD BE'!$AM$33)*(1-CUSTOS!$M$39),2)</f>
        <v>587.13</v>
      </c>
      <c r="V21" s="29">
        <f>ROUND(('TE BE'!$AB$24)*(1-CUSTOS!$M$39),2)</f>
        <v>258.43</v>
      </c>
    </row>
    <row r="22" spans="12:22" ht="11.25" customHeight="1" x14ac:dyDescent="0.3">
      <c r="L22" s="113"/>
      <c r="M22" s="112" t="s">
        <v>683</v>
      </c>
      <c r="N22" s="112" t="s">
        <v>689</v>
      </c>
      <c r="O22" s="112" t="s">
        <v>692</v>
      </c>
      <c r="P22" s="31" t="s">
        <v>677</v>
      </c>
      <c r="Q22" s="29">
        <v>0</v>
      </c>
      <c r="R22" s="29">
        <f ca="1">ROUND(('TUSD BE'!$AM$38+'TUSD BF'!$AM$38+'TUSD CVA'!$AM$38)*(1-CUSTOS!$M$40),2)</f>
        <v>1063.92</v>
      </c>
      <c r="S22" s="29">
        <f>ROUND(('TE BE'!$AB$29+'TE BF'!$AB$29+'TE CVA'!$AB$29)*(1-CUSTOS!$M$40),2)</f>
        <v>247.67</v>
      </c>
      <c r="T22" s="29">
        <v>0</v>
      </c>
      <c r="U22" s="29">
        <f ca="1">ROUND('TUSD BE'!$AM$38*(1-CUSTOS!$M$40),2)</f>
        <v>1458.73</v>
      </c>
      <c r="V22" s="29">
        <f>ROUND('TE BE'!$AB$29*(1-CUSTOS!$M$40),2)</f>
        <v>252.93</v>
      </c>
    </row>
    <row r="23" spans="12:22" ht="11.25" customHeight="1" x14ac:dyDescent="0.3">
      <c r="L23" s="113"/>
      <c r="M23" s="113"/>
      <c r="N23" s="113"/>
      <c r="O23" s="113"/>
      <c r="P23" s="31" t="s">
        <v>685</v>
      </c>
      <c r="Q23" s="29">
        <v>0</v>
      </c>
      <c r="R23" s="29">
        <f ca="1">ROUND(('TUSD BE'!$AM$39+'TUSD BF'!$AM$39+'TUSD CVA'!$AM$39)*(1-CUSTOS!$M$40),2)</f>
        <v>699.34</v>
      </c>
      <c r="S23" s="29">
        <f>ROUND(('TE BE'!$AB$30+'TE BF'!$AB$30+'TE CVA'!$AB$30)*(1-CUSTOS!$M$40),2)</f>
        <v>247.67</v>
      </c>
      <c r="T23" s="29">
        <v>0</v>
      </c>
      <c r="U23" s="29">
        <f ca="1">ROUND('TUSD BE'!$AM$39*(1-CUSTOS!$M$40),2)</f>
        <v>936.7</v>
      </c>
      <c r="V23" s="29">
        <f>ROUND('TE BE'!$AB$30*(1-CUSTOS!$M$40),2)</f>
        <v>252.93</v>
      </c>
    </row>
    <row r="24" spans="12:22" ht="11.25" customHeight="1" x14ac:dyDescent="0.3">
      <c r="L24" s="113"/>
      <c r="M24" s="114"/>
      <c r="N24" s="114"/>
      <c r="O24" s="114"/>
      <c r="P24" s="31" t="s">
        <v>678</v>
      </c>
      <c r="Q24" s="29">
        <v>0</v>
      </c>
      <c r="R24" s="29">
        <f ca="1">ROUND(('TUSD BE'!$AM$40+'TUSD BF'!$AM$40+'TUSD CVA'!$AM$40)*(1-CUSTOS!$M$40),2)</f>
        <v>334.75</v>
      </c>
      <c r="S24" s="29">
        <f>ROUND(('TE BE'!$AB$31+'TE BF'!$AB$31+'TE CVA'!$AB$31)*(1-CUSTOS!$M$40),2)</f>
        <v>247.67</v>
      </c>
      <c r="T24" s="29">
        <v>0</v>
      </c>
      <c r="U24" s="29">
        <f ca="1">ROUND('TUSD BE'!$AM$40*(1-CUSTOS!$M$40),2)</f>
        <v>414.66</v>
      </c>
      <c r="V24" s="29">
        <f>ROUND('TE BE'!$AB$31*(1-CUSTOS!$M$40),2)</f>
        <v>252.93</v>
      </c>
    </row>
    <row r="25" spans="12:22" ht="11.25" customHeight="1" x14ac:dyDescent="0.3">
      <c r="L25" s="113"/>
      <c r="M25" s="31" t="s">
        <v>686</v>
      </c>
      <c r="N25" s="31" t="s">
        <v>689</v>
      </c>
      <c r="O25" s="31" t="s">
        <v>692</v>
      </c>
      <c r="P25" s="31" t="s">
        <v>680</v>
      </c>
      <c r="Q25" s="29">
        <v>0</v>
      </c>
      <c r="R25" s="29">
        <f ca="1">ROUND(('TUSD BE'!$AM$42+'TUSD BF'!$AM$42+'TUSD CVA'!$AM$42)*(1-CUSTOS!$M$40),2)</f>
        <v>446.47</v>
      </c>
      <c r="S25" s="29">
        <f>ROUND(('TE BE'!$AB$33+'TE BF'!$AB$33+'TE CVA'!$AB$33)*(1-CUSTOS!$M$40),2)</f>
        <v>247.67</v>
      </c>
      <c r="T25" s="29">
        <v>0</v>
      </c>
      <c r="U25" s="29">
        <f ca="1">ROUND(('TUSD BE'!$AM$42)*(1-CUSTOS!$M$40),2)</f>
        <v>574.63</v>
      </c>
      <c r="V25" s="29">
        <f>ROUND(('TE BE'!$AB$33)*(1-CUSTOS!$M$40),2)</f>
        <v>252.93</v>
      </c>
    </row>
    <row r="26" spans="12:22" ht="11.25" customHeight="1" x14ac:dyDescent="0.3">
      <c r="L26" s="114"/>
      <c r="M26" s="31" t="s">
        <v>688</v>
      </c>
      <c r="N26" s="31" t="s">
        <v>689</v>
      </c>
      <c r="O26" s="31" t="s">
        <v>692</v>
      </c>
      <c r="P26" s="31" t="s">
        <v>680</v>
      </c>
      <c r="Q26" s="29">
        <v>0</v>
      </c>
      <c r="R26" s="29">
        <f ca="1">ROUND(('TUSD BE'!$AM$33+'TUSD BF'!$AM$33+'TUSD CVA'!$AM$33)*(1-CUSTOS!$M$40),2)</f>
        <v>446.47</v>
      </c>
      <c r="S26" s="29">
        <f>ROUND(('TE BE'!$AB$24+'TE BF'!$AB$24+'TE CVA'!$AB$24)*(1-CUSTOS!$M$40),2)</f>
        <v>247.67</v>
      </c>
      <c r="T26" s="29">
        <v>0</v>
      </c>
      <c r="U26" s="29">
        <f ca="1">ROUND(('TUSD BE'!$AM$33)*(1-CUSTOS!$M$40),2)</f>
        <v>574.63</v>
      </c>
      <c r="V26" s="29">
        <f>ROUND(('TE BE'!$AB$24)*(1-CUSTOS!$M$40),2)</f>
        <v>252.93</v>
      </c>
    </row>
    <row r="27" spans="12:22" ht="11.25" customHeight="1" x14ac:dyDescent="0.3">
      <c r="L27" s="112" t="s">
        <v>36</v>
      </c>
      <c r="M27" s="112" t="s">
        <v>683</v>
      </c>
      <c r="N27" s="112" t="s">
        <v>680</v>
      </c>
      <c r="O27" s="112" t="s">
        <v>680</v>
      </c>
      <c r="P27" s="31" t="s">
        <v>677</v>
      </c>
      <c r="Q27" s="29">
        <v>0</v>
      </c>
      <c r="R27" s="29">
        <f ca="1">ROUND(('TUSD BE'!$AM$45+'TUSD BF'!$AM$45+'TUSD CVA'!$AM$45)*(1-CUSTOS!$M$31),2)</f>
        <v>1188.3900000000001</v>
      </c>
      <c r="S27" s="29">
        <f>ROUND(('TE BE'!$AB$36+'TE BF'!$AB$36+'TE CVA'!$AB$36)*(1-CUSTOS!$M$31),2)</f>
        <v>269.20999999999998</v>
      </c>
      <c r="T27" s="29">
        <v>0</v>
      </c>
      <c r="U27" s="29">
        <f ca="1">ROUND('TUSD BE'!$AM$45*(1-CUSTOS!$M$31),2)</f>
        <v>1631.33</v>
      </c>
      <c r="V27" s="29">
        <f>ROUND('TE BE'!$AB$36*(1-CUSTOS!$M$31),2)</f>
        <v>274.93</v>
      </c>
    </row>
    <row r="28" spans="12:22" ht="11.25" customHeight="1" x14ac:dyDescent="0.3">
      <c r="L28" s="113"/>
      <c r="M28" s="113"/>
      <c r="N28" s="113"/>
      <c r="O28" s="113"/>
      <c r="P28" s="31" t="s">
        <v>685</v>
      </c>
      <c r="Q28" s="29">
        <v>0</v>
      </c>
      <c r="R28" s="29">
        <f ca="1">ROUND(('TUSD BE'!$AM$46+'TUSD BF'!$AM$46+'TUSD CVA'!$AM$46)*(1-CUSTOS!$M$31),2)</f>
        <v>779.32</v>
      </c>
      <c r="S28" s="29">
        <f>ROUND(('TE BE'!$AB$37+'TE BF'!$AB$37+'TE CVA'!$AB$37)*(1-CUSTOS!$M$31),2)</f>
        <v>269.20999999999998</v>
      </c>
      <c r="T28" s="29">
        <v>0</v>
      </c>
      <c r="U28" s="29">
        <f ca="1">ROUND('TUSD BE'!$AM$46*(1-CUSTOS!$M$31),2)</f>
        <v>1045.6099999999999</v>
      </c>
      <c r="V28" s="29">
        <f>ROUND('TE BE'!$AB$37*(1-CUSTOS!$M$31),2)</f>
        <v>274.93</v>
      </c>
    </row>
    <row r="29" spans="12:22" ht="11.25" customHeight="1" x14ac:dyDescent="0.3">
      <c r="L29" s="113"/>
      <c r="M29" s="114"/>
      <c r="N29" s="114"/>
      <c r="O29" s="114"/>
      <c r="P29" s="31" t="s">
        <v>678</v>
      </c>
      <c r="Q29" s="29">
        <v>0</v>
      </c>
      <c r="R29" s="29">
        <f ca="1">ROUND(('TUSD BE'!$AM$47+'TUSD BF'!$AM$47+'TUSD CVA'!$AM$47)*(1-CUSTOS!$M$31),2)</f>
        <v>370.25</v>
      </c>
      <c r="S29" s="29">
        <f>ROUND(('TE BE'!$AB$38+'TE BF'!$AB$38+'TE CVA'!$AB$38)*(1-CUSTOS!$M$31),2)</f>
        <v>269.20999999999998</v>
      </c>
      <c r="T29" s="29">
        <v>0</v>
      </c>
      <c r="U29" s="29">
        <f ca="1">ROUND('TUSD BE'!$AM$47*(1-CUSTOS!$M$31),2)</f>
        <v>459.87</v>
      </c>
      <c r="V29" s="29">
        <f>ROUND('TE BE'!$AB$38*(1-CUSTOS!$M$31),2)</f>
        <v>274.93</v>
      </c>
    </row>
    <row r="30" spans="12:22" ht="11.25" customHeight="1" x14ac:dyDescent="0.3">
      <c r="L30" s="113"/>
      <c r="M30" s="31" t="s">
        <v>686</v>
      </c>
      <c r="N30" s="31" t="s">
        <v>680</v>
      </c>
      <c r="O30" s="31" t="s">
        <v>680</v>
      </c>
      <c r="P30" s="31" t="s">
        <v>680</v>
      </c>
      <c r="Q30" s="29">
        <v>0</v>
      </c>
      <c r="R30" s="29">
        <f ca="1">ROUND(('TUSD BE'!$AM$49+'TUSD BF'!$AM$49+'TUSD CVA'!$AM$49)*(1-CUSTOS!$M$31),2)</f>
        <v>485.29</v>
      </c>
      <c r="S30" s="29">
        <f>ROUND(('TE BE'!$AB$40+'TE BF'!$AB$40+'TE CVA'!$AB$40)*(1-CUSTOS!$M$31),2)</f>
        <v>269.20999999999998</v>
      </c>
      <c r="T30" s="29">
        <v>0</v>
      </c>
      <c r="U30" s="29">
        <f ca="1">ROUND(('TUSD BE'!$AM$49)*(1-CUSTOS!$M$31),2)</f>
        <v>624.6</v>
      </c>
      <c r="V30" s="29">
        <f>ROUND(('TE BE'!$AB$40)*(1-CUSTOS!$M$31),2)</f>
        <v>274.93</v>
      </c>
    </row>
    <row r="31" spans="12:22" ht="11.25" customHeight="1" x14ac:dyDescent="0.3">
      <c r="L31" s="114"/>
      <c r="M31" s="31" t="s">
        <v>688</v>
      </c>
      <c r="N31" s="31" t="s">
        <v>680</v>
      </c>
      <c r="O31" s="31" t="s">
        <v>680</v>
      </c>
      <c r="P31" s="31" t="s">
        <v>680</v>
      </c>
      <c r="Q31" s="29">
        <v>0</v>
      </c>
      <c r="R31" s="29">
        <f ca="1">ROUND(('TUSD BE'!$AM$48+'TUSD BF'!$AM$48+'TUSD CVA'!$AM$48)*(1-CUSTOS!$M$31),2)</f>
        <v>485.29</v>
      </c>
      <c r="S31" s="29">
        <f>ROUND(('TE BE'!$AB$39+'TE BF'!$AB$39+'TE CVA'!$AB$39)*(1-CUSTOS!$M$31),2)</f>
        <v>269.20999999999998</v>
      </c>
      <c r="T31" s="29">
        <v>0</v>
      </c>
      <c r="U31" s="29">
        <f ca="1">ROUND(('TUSD BE'!$AM$48)*(1-CUSTOS!$M$31),2)</f>
        <v>624.6</v>
      </c>
      <c r="V31" s="29">
        <f>ROUND(('TE BE'!$AB$39)*(1-CUSTOS!$M$31),2)</f>
        <v>274.93</v>
      </c>
    </row>
    <row r="32" spans="12:22" ht="11.25" customHeight="1" x14ac:dyDescent="0.3">
      <c r="L32" s="112" t="s">
        <v>44</v>
      </c>
      <c r="M32" s="112" t="s">
        <v>688</v>
      </c>
      <c r="N32" s="112" t="s">
        <v>693</v>
      </c>
      <c r="O32" s="31" t="s">
        <v>694</v>
      </c>
      <c r="P32" s="31" t="s">
        <v>680</v>
      </c>
      <c r="Q32" s="29">
        <v>0</v>
      </c>
      <c r="R32" s="29">
        <f ca="1">ROUND(('TUSD BE'!$AM$50+'TUSD BF'!$AM$50+'TUSD CVA'!$AM$50),2)</f>
        <v>266.91000000000003</v>
      </c>
      <c r="S32" s="29">
        <f>ROUND(('TE BE'!$AB$41+'TE BF'!$AB$41+'TE CVA'!$AB$41),2)</f>
        <v>148.07</v>
      </c>
      <c r="T32" s="29">
        <v>0</v>
      </c>
      <c r="U32" s="29">
        <f ca="1">ROUND(('TUSD BE'!$AM$50),2)</f>
        <v>343.53</v>
      </c>
      <c r="V32" s="29">
        <f>ROUND(('TE BE'!$AB$41),2)</f>
        <v>151.21</v>
      </c>
    </row>
    <row r="33" spans="12:22" ht="11.25" customHeight="1" x14ac:dyDescent="0.3">
      <c r="L33" s="114"/>
      <c r="M33" s="114"/>
      <c r="N33" s="114"/>
      <c r="O33" s="31" t="s">
        <v>695</v>
      </c>
      <c r="P33" s="31" t="s">
        <v>680</v>
      </c>
      <c r="Q33" s="29">
        <v>0</v>
      </c>
      <c r="R33" s="29">
        <f ca="1">ROUND(('TUSD BE'!$AM$51+'TUSD BF'!$AM$51+'TUSD CVA'!$AM$51),2)</f>
        <v>291.18</v>
      </c>
      <c r="S33" s="29">
        <f>ROUND(('TE BE'!$AB$42+'TE BF'!$AB$42+'TE CVA'!$AB$42),2)</f>
        <v>161.53</v>
      </c>
      <c r="T33" s="29">
        <v>0</v>
      </c>
      <c r="U33" s="29">
        <f ca="1">ROUND(('TUSD BE'!$AM$51),2)</f>
        <v>374.76</v>
      </c>
      <c r="V33" s="29">
        <f>ROUND(('TE BE'!$AB$42),2)</f>
        <v>164.96</v>
      </c>
    </row>
    <row r="34" spans="12:22" ht="11.25" customHeight="1" x14ac:dyDescent="0.3">
      <c r="L34" s="112" t="s">
        <v>79</v>
      </c>
      <c r="M34" s="112" t="s">
        <v>696</v>
      </c>
      <c r="N34" s="31" t="s">
        <v>80</v>
      </c>
      <c r="O34" s="31" t="s">
        <v>680</v>
      </c>
      <c r="P34" s="31" t="s">
        <v>680</v>
      </c>
      <c r="Q34" s="29">
        <f ca="1">ROUND(('TUSD BE'!$AM$15+'TUSD BF'!$AM$15+'TUSD CVA'!$AM$15),2)</f>
        <v>2.5099999999999998</v>
      </c>
      <c r="R34" s="29">
        <v>0</v>
      </c>
      <c r="S34" s="29">
        <v>0</v>
      </c>
      <c r="T34" s="29">
        <f ca="1">ROUND(('TUSD BE'!$AM$15),2)</f>
        <v>4.32</v>
      </c>
      <c r="U34" s="29">
        <v>0</v>
      </c>
      <c r="V34" s="29">
        <v>0</v>
      </c>
    </row>
    <row r="35" spans="12:22" ht="11.25" customHeight="1" x14ac:dyDescent="0.3">
      <c r="L35" s="114"/>
      <c r="M35" s="114"/>
      <c r="N35" s="31" t="s">
        <v>81</v>
      </c>
      <c r="O35" s="31" t="s">
        <v>680</v>
      </c>
      <c r="P35" s="31" t="s">
        <v>680</v>
      </c>
      <c r="Q35" s="29">
        <f ca="1">ROUND(('TUSD BE'!$AM$16+'TUSD BF'!$AM$16+'TUSD CVA'!$AM$16),2)</f>
        <v>13.81</v>
      </c>
      <c r="R35" s="29">
        <v>0</v>
      </c>
      <c r="S35" s="29">
        <v>0</v>
      </c>
      <c r="T35" s="29">
        <f ca="1">ROUND(('TUSD BE'!$AM$16),2)</f>
        <v>23.77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0406-D2BC-42BC-8539-500AF8FD1E8A}">
  <dimension ref="A1:AN300"/>
  <sheetViews>
    <sheetView showGridLines="0" workbookViewId="0">
      <selection sqref="A1:O300 Q1:AJ13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6" width="12" style="4" bestFit="1" customWidth="1"/>
    <col min="7" max="8" width="9.5546875" style="4" bestFit="1" customWidth="1"/>
    <col min="9" max="9" width="7.88671875" style="5" bestFit="1" customWidth="1"/>
    <col min="10" max="10" width="9.5546875" style="6" bestFit="1" customWidth="1"/>
    <col min="11" max="11" width="10" style="6" bestFit="1" customWidth="1"/>
    <col min="12" max="12" width="8.77734375" style="6" bestFit="1" customWidth="1"/>
    <col min="13" max="13" width="13.109375" style="6" bestFit="1" customWidth="1"/>
    <col min="14" max="14" width="13.5546875" style="6" bestFit="1" customWidth="1"/>
    <col min="15" max="15" width="12.21875" style="6" bestFit="1" customWidth="1"/>
    <col min="16" max="16" width="6.77734375" style="6" bestFit="1" customWidth="1"/>
    <col min="17" max="17" width="9" style="4" bestFit="1" customWidth="1"/>
    <col min="18" max="18" width="17.88671875" style="4" bestFit="1" customWidth="1"/>
    <col min="19" max="19" width="19.21875" style="4" bestFit="1" customWidth="1"/>
    <col min="20" max="20" width="17.109375" style="4" bestFit="1" customWidth="1"/>
    <col min="21" max="21" width="16.44140625" style="4" bestFit="1" customWidth="1"/>
    <col min="22" max="22" width="17.88671875" style="4" bestFit="1" customWidth="1"/>
    <col min="23" max="23" width="15.6640625" style="4" bestFit="1" customWidth="1"/>
    <col min="24" max="24" width="16.109375" style="4" bestFit="1" customWidth="1"/>
    <col min="25" max="25" width="17.5546875" style="4" bestFit="1" customWidth="1"/>
    <col min="26" max="26" width="15.33203125" style="4" bestFit="1" customWidth="1"/>
    <col min="27" max="27" width="16.109375" style="4" bestFit="1" customWidth="1"/>
    <col min="28" max="28" width="17.5546875" style="4" bestFit="1" customWidth="1"/>
    <col min="29" max="29" width="15.33203125" style="4" bestFit="1" customWidth="1"/>
    <col min="30" max="30" width="16.44140625" style="4" bestFit="1" customWidth="1"/>
    <col min="31" max="31" width="20.5546875" style="4" bestFit="1" customWidth="1"/>
    <col min="32" max="32" width="10.88671875" style="4" bestFit="1" customWidth="1"/>
    <col min="33" max="33" width="12.21875" style="4" bestFit="1" customWidth="1"/>
    <col min="34" max="34" width="10.109375" style="4" bestFit="1" customWidth="1"/>
    <col min="35" max="35" width="11.21875" style="4" bestFit="1" customWidth="1"/>
    <col min="36" max="36" width="15.33203125" style="4" bestFit="1" customWidth="1"/>
    <col min="37" max="37" width="8.88671875" style="4"/>
    <col min="38" max="38" width="8" style="4" bestFit="1" customWidth="1"/>
    <col min="39" max="39" width="5.109375" style="4" bestFit="1" customWidth="1"/>
    <col min="40" max="40" width="14" style="4" bestFit="1" customWidth="1"/>
    <col min="41" max="16384" width="8.88671875" style="4"/>
  </cols>
  <sheetData>
    <row r="1" spans="1:40" s="1" customFormat="1" ht="11.25" customHeigh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643</v>
      </c>
      <c r="K1" s="30" t="s">
        <v>644</v>
      </c>
      <c r="L1" s="30" t="s">
        <v>645</v>
      </c>
      <c r="M1" s="30" t="s">
        <v>646</v>
      </c>
      <c r="N1" s="30" t="s">
        <v>647</v>
      </c>
      <c r="O1" s="30" t="s">
        <v>648</v>
      </c>
      <c r="P1" s="7"/>
      <c r="Q1" s="106" t="s">
        <v>649</v>
      </c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L1" s="34" t="s">
        <v>670</v>
      </c>
      <c r="AM1" s="34" t="s">
        <v>55</v>
      </c>
      <c r="AN1" s="34" t="s">
        <v>671</v>
      </c>
    </row>
    <row r="2" spans="1:40" ht="11.25" customHeight="1" x14ac:dyDescent="0.2">
      <c r="A2" s="35" t="s">
        <v>21</v>
      </c>
      <c r="B2" s="35" t="s">
        <v>38</v>
      </c>
      <c r="C2" s="35" t="s">
        <v>39</v>
      </c>
      <c r="D2" s="35" t="s">
        <v>37</v>
      </c>
      <c r="E2" s="35" t="s">
        <v>25</v>
      </c>
      <c r="F2" s="35" t="s">
        <v>25</v>
      </c>
      <c r="G2" s="35" t="s">
        <v>25</v>
      </c>
      <c r="H2" s="35" t="s">
        <v>34</v>
      </c>
      <c r="I2" s="55">
        <v>44440</v>
      </c>
      <c r="J2" s="56">
        <f>EFEITO!$J$2*EFEITO!$Y$2</f>
        <v>0</v>
      </c>
      <c r="K2" s="56">
        <f ca="1">EFEITO!$L$2*EFEITO!$Z$2</f>
        <v>2208.0976366332357</v>
      </c>
      <c r="L2" s="56">
        <f>EFEITO!$N$2*EFEITO!$AA$2</f>
        <v>4696.0886730880884</v>
      </c>
      <c r="M2" s="56">
        <f>$J$2-EFEITO!$K$2*EFEITO!$Y$2</f>
        <v>0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58</v>
      </c>
      <c r="R2" s="28" t="s">
        <v>651</v>
      </c>
      <c r="S2" s="28" t="s">
        <v>652</v>
      </c>
      <c r="T2" s="28" t="s">
        <v>653</v>
      </c>
      <c r="U2" s="28" t="s">
        <v>654</v>
      </c>
      <c r="V2" s="28" t="s">
        <v>655</v>
      </c>
      <c r="W2" s="28" t="s">
        <v>656</v>
      </c>
      <c r="X2" s="57" t="s">
        <v>657</v>
      </c>
      <c r="Y2" s="57" t="s">
        <v>658</v>
      </c>
      <c r="Z2" s="57" t="s">
        <v>659</v>
      </c>
      <c r="AA2" s="57" t="s">
        <v>660</v>
      </c>
      <c r="AB2" s="57" t="s">
        <v>661</v>
      </c>
      <c r="AC2" s="57" t="s">
        <v>662</v>
      </c>
      <c r="AD2" s="57" t="s">
        <v>663</v>
      </c>
      <c r="AE2" s="57" t="s">
        <v>664</v>
      </c>
      <c r="AF2" s="57" t="s">
        <v>665</v>
      </c>
      <c r="AG2" s="57" t="s">
        <v>666</v>
      </c>
      <c r="AH2" s="57" t="s">
        <v>667</v>
      </c>
      <c r="AI2" s="57" t="s">
        <v>668</v>
      </c>
      <c r="AJ2" s="57" t="s">
        <v>669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38</v>
      </c>
      <c r="C3" s="35" t="s">
        <v>39</v>
      </c>
      <c r="D3" s="35" t="s">
        <v>37</v>
      </c>
      <c r="E3" s="35" t="s">
        <v>25</v>
      </c>
      <c r="F3" s="35" t="s">
        <v>25</v>
      </c>
      <c r="G3" s="35" t="s">
        <v>25</v>
      </c>
      <c r="H3" s="35" t="s">
        <v>34</v>
      </c>
      <c r="I3" s="55">
        <v>44470</v>
      </c>
      <c r="J3" s="56">
        <f>EFEITO!$J$3*EFEITO!$Y$3</f>
        <v>0</v>
      </c>
      <c r="K3" s="56">
        <f ca="1">EFEITO!$L$3*EFEITO!$Z$3</f>
        <v>2854.2991061936959</v>
      </c>
      <c r="L3" s="56">
        <f>EFEITO!$N$3*EFEITO!$AA$3</f>
        <v>6070.4026306732003</v>
      </c>
      <c r="M3" s="56">
        <f>$J$3-EFEITO!$K$3*EFEITO!$Y$3</f>
        <v>0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650</v>
      </c>
      <c r="R3" s="56">
        <f>SUMIF($B$2:$B$300,$Q$3,$J$2:$J$300)</f>
        <v>0</v>
      </c>
      <c r="S3" s="56">
        <f>SUMIF($B$2:$B$300,$Q$3,$K$2:$K$300)</f>
        <v>0</v>
      </c>
      <c r="T3" s="56">
        <f>SUMIF($B$2:$B$300,$Q$3,$L$2:$L$300)</f>
        <v>0</v>
      </c>
      <c r="U3" s="56">
        <f>SUMIF($B$2:$B$300,$Q$3,$M$2:$M$300)</f>
        <v>0</v>
      </c>
      <c r="V3" s="56">
        <f>SUMIF($B$2:$B$300,$Q$3,$N$2:$N$300)</f>
        <v>0</v>
      </c>
      <c r="W3" s="56">
        <f>SUMIF($B$2:$B$300,$Q$3,$O$2:$O$300)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SUMIF(EFEITO!$B$2:$B$300,$Q$3,EFEITO!$AE$2:$AE$300)</f>
        <v>0</v>
      </c>
      <c r="AB3" s="36">
        <f>SUMIF(EFEITO!$B$2:$B$300,$Q$3,EFEITO!$AF$2:$AF$300)</f>
        <v>0</v>
      </c>
      <c r="AC3" s="36">
        <f>SUMIF(EFEITO!$B$2:$B$300,$Q$3,EFEITO!$AG$2:$AH$300)</f>
        <v>0</v>
      </c>
      <c r="AD3" s="36">
        <f>SUMIF(SUBSIDIO!$B$2:$B$300,$Q$3,SUBSIDIO!$AD$2:$AD$300)</f>
        <v>0</v>
      </c>
      <c r="AE3" s="36">
        <f>SUMIF(SUBSIDIO!$B$2:$B$300,$Q$3,SUBSIDIO!$AE$2:$AE$300)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38</v>
      </c>
      <c r="C4" s="35" t="s">
        <v>39</v>
      </c>
      <c r="D4" s="35" t="s">
        <v>37</v>
      </c>
      <c r="E4" s="35" t="s">
        <v>25</v>
      </c>
      <c r="F4" s="35" t="s">
        <v>25</v>
      </c>
      <c r="G4" s="35" t="s">
        <v>25</v>
      </c>
      <c r="H4" s="35" t="s">
        <v>34</v>
      </c>
      <c r="I4" s="55">
        <v>44501</v>
      </c>
      <c r="J4" s="56">
        <f>EFEITO!$J$4*EFEITO!$Y$4</f>
        <v>0</v>
      </c>
      <c r="K4" s="56">
        <f ca="1">EFEITO!$L$4*EFEITO!$Z$4</f>
        <v>2640.8817354436596</v>
      </c>
      <c r="L4" s="56">
        <f>EFEITO!$N$4*EFEITO!$AA$4</f>
        <v>5616.5155919878925</v>
      </c>
      <c r="M4" s="56">
        <f>$J$4-EFEITO!$K$4*EFEITO!$Y$4</f>
        <v>0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528</v>
      </c>
      <c r="R4" s="56">
        <f>SUMIF($B$2:$B$300,$Q$4,$J$2:$J$300)</f>
        <v>0</v>
      </c>
      <c r="S4" s="56">
        <f>SUMIF($B$2:$B$300,$Q$4,$K$2:$K$300)</f>
        <v>0</v>
      </c>
      <c r="T4" s="56">
        <f>SUMIF($B$2:$B$300,$Q$4,$L$2:$L$300)</f>
        <v>0</v>
      </c>
      <c r="U4" s="56">
        <f>SUMIF($B$2:$B$300,$Q$4,$M$2:$M$300)</f>
        <v>0</v>
      </c>
      <c r="V4" s="56">
        <f>SUMIF($B$2:$B$300,$Q$4,$N$2:$N$300)</f>
        <v>0</v>
      </c>
      <c r="W4" s="56">
        <f>SUMIF($B$2:$B$300,$Q$4,$O$2:$O$300)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SUMIF(EFEITO!$B$2:$B$300,$Q$4,EFEITO!$AE$2:$AE$300)</f>
        <v>0</v>
      </c>
      <c r="AB4" s="36">
        <f>SUMIF(EFEITO!$B$2:$B$300,$Q$4,EFEITO!$AF$2:$AF$300)</f>
        <v>0</v>
      </c>
      <c r="AC4" s="36">
        <f>SUMIF(EFEITO!$B$2:$B$300,$Q$4,EFEITO!$AG$2:$AH$300)</f>
        <v>0</v>
      </c>
      <c r="AD4" s="36">
        <f>SUMIF(SUBSIDIO!$B$2:$B$300,$Q$4,SUBSIDIO!$AD$2:$AD$300)</f>
        <v>0</v>
      </c>
      <c r="AE4" s="36">
        <f>SUMIF(SUBSIDIO!$B$2:$B$300,$Q$4,SUBSIDIO!$AE$2:$AE$300)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38</v>
      </c>
      <c r="C5" s="35" t="s">
        <v>39</v>
      </c>
      <c r="D5" s="35" t="s">
        <v>37</v>
      </c>
      <c r="E5" s="35" t="s">
        <v>25</v>
      </c>
      <c r="F5" s="35" t="s">
        <v>25</v>
      </c>
      <c r="G5" s="35" t="s">
        <v>25</v>
      </c>
      <c r="H5" s="35" t="s">
        <v>34</v>
      </c>
      <c r="I5" s="55">
        <v>44531</v>
      </c>
      <c r="J5" s="56">
        <f>EFEITO!$J$5*EFEITO!$Y$5</f>
        <v>0</v>
      </c>
      <c r="K5" s="56">
        <f ca="1">EFEITO!$L$5*EFEITO!$Z$5</f>
        <v>2368.0973736605465</v>
      </c>
      <c r="L5" s="56">
        <f>EFEITO!$N$5*EFEITO!$AA$5</f>
        <v>5036.3693474049505</v>
      </c>
      <c r="M5" s="56">
        <f>$J$5-EFEITO!$K$5*EFEITO!$Y$5</f>
        <v>0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529</v>
      </c>
      <c r="R5" s="56">
        <f>SUMIF($B$2:$B$300,$Q$5,$J$2:$J$300)</f>
        <v>0</v>
      </c>
      <c r="S5" s="56">
        <f>SUMIF($B$2:$B$300,$Q$5,$K$2:$K$300)</f>
        <v>0</v>
      </c>
      <c r="T5" s="56">
        <f>SUMIF($B$2:$B$300,$Q$5,$L$2:$L$300)</f>
        <v>0</v>
      </c>
      <c r="U5" s="56">
        <f>SUMIF($B$2:$B$300,$Q$5,$M$2:$M$300)</f>
        <v>0</v>
      </c>
      <c r="V5" s="56">
        <f>SUMIF($B$2:$B$300,$Q$5,$N$2:$N$300)</f>
        <v>0</v>
      </c>
      <c r="W5" s="56">
        <f>SUMIF($B$2:$B$300,$Q$5,$O$2:$O$300)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SUMIF(EFEITO!$B$2:$B$300,$Q$5,EFEITO!$AE$2:$AE$300)</f>
        <v>0</v>
      </c>
      <c r="AB5" s="36">
        <f>SUMIF(EFEITO!$B$2:$B$300,$Q$5,EFEITO!$AF$2:$AF$300)</f>
        <v>0</v>
      </c>
      <c r="AC5" s="36">
        <f>SUMIF(EFEITO!$B$2:$B$300,$Q$5,EFEITO!$AG$2:$AH$300)</f>
        <v>0</v>
      </c>
      <c r="AD5" s="36">
        <f>SUMIF(SUBSIDIO!$B$2:$B$300,$Q$5,SUBSIDIO!$AD$2:$AD$300)</f>
        <v>0</v>
      </c>
      <c r="AE5" s="36">
        <f>SUMIF(SUBSIDIO!$B$2:$B$300,$Q$5,SUBSIDIO!$AE$2:$AE$300)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38</v>
      </c>
      <c r="C6" s="35" t="s">
        <v>39</v>
      </c>
      <c r="D6" s="35" t="s">
        <v>37</v>
      </c>
      <c r="E6" s="35" t="s">
        <v>25</v>
      </c>
      <c r="F6" s="35" t="s">
        <v>25</v>
      </c>
      <c r="G6" s="35" t="s">
        <v>25</v>
      </c>
      <c r="H6" s="35" t="s">
        <v>34</v>
      </c>
      <c r="I6" s="55">
        <v>44562</v>
      </c>
      <c r="J6" s="56">
        <f>EFEITO!$J$6*EFEITO!$Y$6</f>
        <v>0</v>
      </c>
      <c r="K6" s="56">
        <f ca="1">EFEITO!$L$6*EFEITO!$Z$6</f>
        <v>2603.6666067363581</v>
      </c>
      <c r="L6" s="56">
        <f>EFEITO!$N$6*EFEITO!$AA$6</f>
        <v>5537.3680300819133</v>
      </c>
      <c r="M6" s="56">
        <f>$J$6-EFEITO!$K$6*EFEITO!$Y$6</f>
        <v>0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530</v>
      </c>
      <c r="R6" s="56">
        <f>SUMIF($B$2:$B$300,$Q$6,$J$2:$J$300)</f>
        <v>0</v>
      </c>
      <c r="S6" s="56">
        <f>SUMIF($B$2:$B$300,$Q$6,$K$2:$K$300)</f>
        <v>0</v>
      </c>
      <c r="T6" s="56">
        <f>SUMIF($B$2:$B$300,$Q$6,$L$2:$L$300)</f>
        <v>0</v>
      </c>
      <c r="U6" s="56">
        <f>SUMIF($B$2:$B$300,$Q$6,$M$2:$M$300)</f>
        <v>0</v>
      </c>
      <c r="V6" s="56">
        <f>SUMIF($B$2:$B$300,$Q$6,$N$2:$N$300)</f>
        <v>0</v>
      </c>
      <c r="W6" s="56">
        <f>SUMIF($B$2:$B$300,$Q$6,$O$2:$O$300)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SUMIF(EFEITO!$B$2:$B$300,$Q$6,EFEITO!$AE$2:$AE$300)</f>
        <v>0</v>
      </c>
      <c r="AB6" s="36">
        <f>SUMIF(EFEITO!$B$2:$B$300,$Q$6,EFEITO!$AF$2:$AF$300)</f>
        <v>0</v>
      </c>
      <c r="AC6" s="36">
        <f>SUMIF(EFEITO!$B$2:$B$300,$Q$6,EFEITO!$AG$2:$AH$300)</f>
        <v>0</v>
      </c>
      <c r="AD6" s="36">
        <f>SUMIF(SUBSIDIO!$B$2:$B$300,$Q$6,SUBSIDIO!$AD$2:$AD$300)</f>
        <v>0</v>
      </c>
      <c r="AE6" s="36">
        <f>SUMIF(SUBSIDIO!$B$2:$B$300,$Q$6,SUBSIDIO!$AE$2:$AE$300)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38</v>
      </c>
      <c r="C7" s="35" t="s">
        <v>39</v>
      </c>
      <c r="D7" s="35" t="s">
        <v>37</v>
      </c>
      <c r="E7" s="35" t="s">
        <v>25</v>
      </c>
      <c r="F7" s="35" t="s">
        <v>25</v>
      </c>
      <c r="G7" s="35" t="s">
        <v>25</v>
      </c>
      <c r="H7" s="35" t="s">
        <v>34</v>
      </c>
      <c r="I7" s="55">
        <v>44593</v>
      </c>
      <c r="J7" s="56">
        <f>EFEITO!$J$7*EFEITO!$Y$7</f>
        <v>0</v>
      </c>
      <c r="K7" s="56">
        <f ca="1">EFEITO!$L$7*EFEITO!$Z$7</f>
        <v>2591.6413100452232</v>
      </c>
      <c r="L7" s="56">
        <f>EFEITO!$N$7*EFEITO!$AA$7</f>
        <v>5511.7931376293009</v>
      </c>
      <c r="M7" s="56">
        <f>$J$7-EFEITO!$K$7*EFEITO!$Y$7</f>
        <v>0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38</v>
      </c>
      <c r="R7" s="56">
        <f ca="1">SUMIF($B$2:$B$300,$Q$7,$J$2:$J$300)</f>
        <v>1146306.5349325866</v>
      </c>
      <c r="S7" s="56">
        <f ca="1">SUMIF($B$2:$B$300,$Q$7,$K$2:$K$300)</f>
        <v>4844604.5611026846</v>
      </c>
      <c r="T7" s="56">
        <f>SUMIF($B$2:$B$300,$Q$7,$L$2:$L$300)</f>
        <v>801629.38978226564</v>
      </c>
      <c r="U7" s="56">
        <f ca="1">SUMIF($B$2:$B$300,$Q$7,$M$2:$M$300)</f>
        <v>236281.41913836345</v>
      </c>
      <c r="V7" s="56">
        <f ca="1">SUMIF($B$2:$B$300,$Q$7,$N$2:$N$300)</f>
        <v>745307.59469536343</v>
      </c>
      <c r="W7" s="56">
        <f>SUMIF($B$2:$B$300,$Q$7,$O$2:$O$300)</f>
        <v>21962.253139198838</v>
      </c>
      <c r="X7" s="36">
        <f ca="1">$R$7-$U$7</f>
        <v>910025.11579422315</v>
      </c>
      <c r="Y7" s="36">
        <f ca="1">$S$7-$V$7</f>
        <v>4099296.9664073214</v>
      </c>
      <c r="Z7" s="36">
        <f>$T$7-$W$7</f>
        <v>779667.13664306677</v>
      </c>
      <c r="AA7" s="36">
        <f ca="1">SUMIF(EFEITO!$B$2:$B$300,$Q$7,EFEITO!$AE$2:$AE$300)</f>
        <v>902224.27902737597</v>
      </c>
      <c r="AB7" s="36">
        <f ca="1">SUMIF(EFEITO!$B$2:$B$300,$Q$7,EFEITO!$AF$2:$AF$300)</f>
        <v>4071328.2901641009</v>
      </c>
      <c r="AC7" s="36">
        <f>SUMIF(EFEITO!$B$2:$B$300,$Q$7,EFEITO!$AG$2:$AH$300)</f>
        <v>779667.136643067</v>
      </c>
      <c r="AD7" s="36">
        <f ca="1">SUMIF(SUBSIDIO!$B$2:$B$300,$Q$7,SUBSIDIO!$AD$2:$AD$300)</f>
        <v>244082.25590521059</v>
      </c>
      <c r="AE7" s="36">
        <f ca="1">SUMIF(SUBSIDIO!$B$2:$B$300,$Q$7,SUBSIDIO!$AE$2:$AE$300)</f>
        <v>795238.52407778101</v>
      </c>
      <c r="AF7" s="36" t="str">
        <f ca="1">IF(ABS($X$7-$AA$7)&lt;0.01,"OK","ERRO")</f>
        <v>ERRO</v>
      </c>
      <c r="AG7" s="36" t="str">
        <f ca="1">IF(ABS($Y$7-$AB$7)&lt;0.01,"OK","ERRO")</f>
        <v>ERRO</v>
      </c>
      <c r="AH7" s="36" t="str">
        <f>IF(ABS($Z$7-$AC$7)&lt;0.01,"OK","ERRO")</f>
        <v>OK</v>
      </c>
      <c r="AI7" s="36" t="str">
        <f ca="1">IF(ABS($U$7-$AD$7)&lt;0.01,"OK","ERRO")</f>
        <v>ERRO</v>
      </c>
      <c r="AJ7" s="36" t="str">
        <f ca="1">IF(ABS(($V$7+$W$7)-$AE$7)&lt;0.01,"OK","ERRO")</f>
        <v>ERRO</v>
      </c>
    </row>
    <row r="8" spans="1:40" ht="11.25" customHeight="1" x14ac:dyDescent="0.2">
      <c r="A8" s="35" t="s">
        <v>21</v>
      </c>
      <c r="B8" s="35" t="s">
        <v>38</v>
      </c>
      <c r="C8" s="35" t="s">
        <v>39</v>
      </c>
      <c r="D8" s="35" t="s">
        <v>37</v>
      </c>
      <c r="E8" s="35" t="s">
        <v>25</v>
      </c>
      <c r="F8" s="35" t="s">
        <v>25</v>
      </c>
      <c r="G8" s="35" t="s">
        <v>25</v>
      </c>
      <c r="H8" s="35" t="s">
        <v>34</v>
      </c>
      <c r="I8" s="55">
        <v>44621</v>
      </c>
      <c r="J8" s="56">
        <f>EFEITO!$J$8*EFEITO!$Y$8</f>
        <v>0</v>
      </c>
      <c r="K8" s="56">
        <f ca="1">EFEITO!$L$8*EFEITO!$Z$8</f>
        <v>2657.5905687408158</v>
      </c>
      <c r="L8" s="56">
        <f>EFEITO!$N$8*EFEITO!$AA$8</f>
        <v>5652.0512320273119</v>
      </c>
      <c r="M8" s="56">
        <f>$J$8-EFEITO!$K$8*EFEITO!$Y$8</f>
        <v>0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531</v>
      </c>
      <c r="R8" s="56">
        <f>SUMIF($B$2:$B$300,$Q$8,$J$2:$J$300)</f>
        <v>0</v>
      </c>
      <c r="S8" s="56">
        <f>SUMIF($B$2:$B$300,$Q$8,$K$2:$K$300)</f>
        <v>0</v>
      </c>
      <c r="T8" s="56">
        <f>SUMIF($B$2:$B$300,$Q$8,$L$2:$L$300)</f>
        <v>0</v>
      </c>
      <c r="U8" s="56">
        <f>SUMIF($B$2:$B$300,$Q$8,$M$2:$M$300)</f>
        <v>0</v>
      </c>
      <c r="V8" s="56">
        <f>SUMIF($B$2:$B$300,$Q$8,$N$2:$N$300)</f>
        <v>0</v>
      </c>
      <c r="W8" s="56">
        <f>SUMIF($B$2:$B$300,$Q$8,$O$2:$O$300)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SUMIF(EFEITO!$B$2:$B$300,$Q$8,EFEITO!$AE$2:$AE$300)</f>
        <v>0</v>
      </c>
      <c r="AB8" s="36">
        <f>SUMIF(EFEITO!$B$2:$B$300,$Q$8,EFEITO!$AF$2:$AF$300)</f>
        <v>0</v>
      </c>
      <c r="AC8" s="36">
        <f>SUMIF(EFEITO!$B$2:$B$300,$Q$8,EFEITO!$AG$2:$AH$300)</f>
        <v>0</v>
      </c>
      <c r="AD8" s="36">
        <f>SUMIF(SUBSIDIO!$B$2:$B$300,$Q$8,SUBSIDIO!$AD$2:$AD$300)</f>
        <v>0</v>
      </c>
      <c r="AE8" s="36">
        <f>SUMIF(SUBSIDIO!$B$2:$B$300,$Q$8,SUBSIDIO!$AE$2:$AE$300)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38</v>
      </c>
      <c r="C9" s="35" t="s">
        <v>39</v>
      </c>
      <c r="D9" s="35" t="s">
        <v>37</v>
      </c>
      <c r="E9" s="35" t="s">
        <v>25</v>
      </c>
      <c r="F9" s="35" t="s">
        <v>25</v>
      </c>
      <c r="G9" s="35" t="s">
        <v>25</v>
      </c>
      <c r="H9" s="35" t="s">
        <v>34</v>
      </c>
      <c r="I9" s="55">
        <v>44652</v>
      </c>
      <c r="J9" s="56">
        <f>EFEITO!$J$9*EFEITO!$Y$9</f>
        <v>0</v>
      </c>
      <c r="K9" s="56">
        <f ca="1">EFEITO!$L$9*EFEITO!$Z$9</f>
        <v>2197.9710709985961</v>
      </c>
      <c r="L9" s="56">
        <f>EFEITO!$N$9*EFEITO!$AA$9</f>
        <v>4674.5519215490467</v>
      </c>
      <c r="M9" s="56">
        <f>$J$9-EFEITO!$K$9*EFEITO!$Y$9</f>
        <v>0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SUMIF($B$2:$B$300,$Q$9,$J$2:$J$300)</f>
        <v>0</v>
      </c>
      <c r="S9" s="56">
        <f ca="1">SUMIF($B$2:$B$300,$Q$9,$K$2:$K$300)</f>
        <v>2657898.6868685088</v>
      </c>
      <c r="T9" s="56">
        <f>SUMIF($B$2:$B$300,$Q$9,$L$2:$L$300)</f>
        <v>1493977.8025333087</v>
      </c>
      <c r="U9" s="56">
        <f>SUMIF($B$2:$B$300,$Q$9,$M$2:$M$300)</f>
        <v>0</v>
      </c>
      <c r="V9" s="56">
        <f ca="1">SUMIF($B$2:$B$300,$Q$9,$N$2:$N$300)</f>
        <v>65537.770017412971</v>
      </c>
      <c r="W9" s="56">
        <f>SUMIF($B$2:$B$300,$Q$9,$O$2:$O$300)</f>
        <v>23196.21208700394</v>
      </c>
      <c r="X9" s="36">
        <f>$R$9-$U$9</f>
        <v>0</v>
      </c>
      <c r="Y9" s="36">
        <f ca="1">$S$9-$V$9</f>
        <v>2592360.9168510959</v>
      </c>
      <c r="Z9" s="36">
        <f>$T$9-$W$9</f>
        <v>1470781.5904463048</v>
      </c>
      <c r="AA9" s="36">
        <f>SUMIF(EFEITO!$B$2:$B$300,$Q$9,EFEITO!$AE$2:$AE$300)</f>
        <v>0</v>
      </c>
      <c r="AB9" s="36">
        <f ca="1">SUMIF(EFEITO!$B$2:$B$300,$Q$9,EFEITO!$AF$2:$AF$300)</f>
        <v>2627569.6092224107</v>
      </c>
      <c r="AC9" s="36">
        <f>SUMIF(EFEITO!$B$2:$B$300,$Q$9,EFEITO!$AG$2:$AH$300)</f>
        <v>1470781.5904463043</v>
      </c>
      <c r="AD9" s="36">
        <f>SUMIF(SUBSIDIO!$B$2:$B$300,$Q$9,SUBSIDIO!$AD$2:$AD$300)</f>
        <v>0</v>
      </c>
      <c r="AE9" s="36">
        <f ca="1">SUMIF(SUBSIDIO!$B$2:$B$300,$Q$9,SUBSIDIO!$AE$2:$AE$300)</f>
        <v>53525.289733100923</v>
      </c>
      <c r="AF9" s="36" t="str">
        <f>IF(ABS($X$9-$AA$9)&lt;0.01,"OK","ERRO")</f>
        <v>OK</v>
      </c>
      <c r="AG9" s="36" t="str">
        <f ca="1">IF(ABS($Y$9-$AB$9)&lt;0.01,"OK","ERRO")</f>
        <v>ERRO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ERRO</v>
      </c>
    </row>
    <row r="10" spans="1:40" ht="11.25" customHeight="1" x14ac:dyDescent="0.2">
      <c r="A10" s="35" t="s">
        <v>21</v>
      </c>
      <c r="B10" s="35" t="s">
        <v>38</v>
      </c>
      <c r="C10" s="35" t="s">
        <v>39</v>
      </c>
      <c r="D10" s="35" t="s">
        <v>37</v>
      </c>
      <c r="E10" s="35" t="s">
        <v>25</v>
      </c>
      <c r="F10" s="35" t="s">
        <v>25</v>
      </c>
      <c r="G10" s="35" t="s">
        <v>25</v>
      </c>
      <c r="H10" s="35" t="s">
        <v>34</v>
      </c>
      <c r="I10" s="55">
        <v>44682</v>
      </c>
      <c r="J10" s="56">
        <f>EFEITO!$J$10*EFEITO!$Y$10</f>
        <v>0</v>
      </c>
      <c r="K10" s="56">
        <f ca="1">EFEITO!$L$10*EFEITO!$Z$10</f>
        <v>2814.2991719368683</v>
      </c>
      <c r="L10" s="56">
        <f>EFEITO!$N$10*EFEITO!$AA$10</f>
        <v>5985.3324620939857</v>
      </c>
      <c r="M10" s="56">
        <f>$J$10-EFEITO!$K$10*EFEITO!$Y$10</f>
        <v>0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41</v>
      </c>
      <c r="R10" s="56">
        <f>SUMIF($B$2:$B$300,$Q$10,$J$2:$J$300)</f>
        <v>0</v>
      </c>
      <c r="S10" s="56">
        <f ca="1">SUMIF($B$2:$B$300,$Q$10,$K$2:$K$300)</f>
        <v>671628.46439052245</v>
      </c>
      <c r="T10" s="56">
        <f>SUMIF($B$2:$B$300,$Q$10,$L$2:$L$300)</f>
        <v>372576.91771541524</v>
      </c>
      <c r="U10" s="56">
        <f>SUMIF($B$2:$B$300,$Q$10,$M$2:$M$300)</f>
        <v>0</v>
      </c>
      <c r="V10" s="56">
        <f ca="1">SUMIF($B$2:$B$300,$Q$10,$N$2:$N$300)</f>
        <v>40297.707863431351</v>
      </c>
      <c r="W10" s="56">
        <f>SUMIF($B$2:$B$300,$Q$10,$O$2:$O$300)</f>
        <v>22354.61506292491</v>
      </c>
      <c r="X10" s="36">
        <f>$R$10-$U$10</f>
        <v>0</v>
      </c>
      <c r="Y10" s="36">
        <f ca="1">$S$10-$V$10</f>
        <v>631330.75652709114</v>
      </c>
      <c r="Z10" s="36">
        <f>$T$10-$W$10</f>
        <v>350222.30265249033</v>
      </c>
      <c r="AA10" s="36">
        <f>SUMIF(EFEITO!$B$2:$B$300,$Q$10,EFEITO!$AE$2:$AE$300)</f>
        <v>0</v>
      </c>
      <c r="AB10" s="36">
        <f ca="1">SUMIF(EFEITO!$B$2:$B$300,$Q$10,EFEITO!$AF$2:$AF$300)</f>
        <v>631330.75652709114</v>
      </c>
      <c r="AC10" s="36">
        <f>SUMIF(EFEITO!$B$2:$B$300,$Q$10,EFEITO!$AG$2:$AH$300)</f>
        <v>350222.30265249033</v>
      </c>
      <c r="AD10" s="36">
        <f>SUMIF(SUBSIDIO!$B$2:$B$300,$Q$10,SUBSIDIO!$AD$2:$AD$300)</f>
        <v>0</v>
      </c>
      <c r="AE10" s="36">
        <f ca="1">SUMIF(SUBSIDIO!$B$2:$B$300,$Q$10,SUBSIDIO!$AE$2:$AE$300)</f>
        <v>62652.322926356268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38</v>
      </c>
      <c r="C11" s="35" t="s">
        <v>39</v>
      </c>
      <c r="D11" s="35" t="s">
        <v>37</v>
      </c>
      <c r="E11" s="35" t="s">
        <v>25</v>
      </c>
      <c r="F11" s="35" t="s">
        <v>25</v>
      </c>
      <c r="G11" s="35" t="s">
        <v>25</v>
      </c>
      <c r="H11" s="35" t="s">
        <v>34</v>
      </c>
      <c r="I11" s="55">
        <v>44713</v>
      </c>
      <c r="J11" s="56">
        <f>EFEITO!$J$11*EFEITO!$Y$11</f>
        <v>0</v>
      </c>
      <c r="K11" s="56">
        <f ca="1">EFEITO!$L$11*EFEITO!$Z$11</f>
        <v>2666.7044778119916</v>
      </c>
      <c r="L11" s="56">
        <f>EFEITO!$N$11*EFEITO!$AA$11</f>
        <v>5671.4343084124494</v>
      </c>
      <c r="M11" s="56">
        <f>$J$11-EFEITO!$K$11*EFEITO!$Y$11</f>
        <v>0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36</v>
      </c>
      <c r="R11" s="56">
        <f>SUMIF($B$2:$B$300,$Q$11,$J$2:$J$300)</f>
        <v>0</v>
      </c>
      <c r="S11" s="56">
        <f ca="1">SUMIF($B$2:$B$300,$Q$11,$K$2:$K$300)</f>
        <v>312264.21235684672</v>
      </c>
      <c r="T11" s="56">
        <f>SUMIF($B$2:$B$300,$Q$11,$L$2:$L$300)</f>
        <v>173224.39997882192</v>
      </c>
      <c r="U11" s="56">
        <f>SUMIF($B$2:$B$300,$Q$11,$M$2:$M$300)</f>
        <v>0</v>
      </c>
      <c r="V11" s="56">
        <f ca="1">SUMIF($B$2:$B$300,$Q$11,$N$2:$N$300)</f>
        <v>0</v>
      </c>
      <c r="W11" s="56">
        <f>SUMIF($B$2:$B$300,$Q$11,$O$2:$O$300)</f>
        <v>2900.4997028356729</v>
      </c>
      <c r="X11" s="36">
        <f>$R$11-$U$11</f>
        <v>0</v>
      </c>
      <c r="Y11" s="36">
        <f ca="1">$S$11-$V$11</f>
        <v>312264.21235684672</v>
      </c>
      <c r="Z11" s="36">
        <f>$T$11-$W$11</f>
        <v>170323.90027598626</v>
      </c>
      <c r="AA11" s="36">
        <f>SUMIF(EFEITO!$B$2:$B$300,$Q$11,EFEITO!$AE$2:$AE$300)</f>
        <v>0</v>
      </c>
      <c r="AB11" s="36">
        <f ca="1">SUMIF(EFEITO!$B$2:$B$300,$Q$11,EFEITO!$AF$2:$AF$300)</f>
        <v>307035.60567523615</v>
      </c>
      <c r="AC11" s="36">
        <f>SUMIF(EFEITO!$B$2:$B$300,$Q$11,EFEITO!$AG$2:$AH$300)</f>
        <v>170323.90027598621</v>
      </c>
      <c r="AD11" s="36">
        <f>SUMIF(SUBSIDIO!$B$2:$B$300,$Q$11,SUBSIDIO!$AD$2:$AD$300)</f>
        <v>0</v>
      </c>
      <c r="AE11" s="36">
        <f ca="1">SUMIF(SUBSIDIO!$B$2:$B$300,$Q$11,SUBSIDIO!$AE$2:$AE$300)</f>
        <v>8129.1063844462087</v>
      </c>
      <c r="AF11" s="36" t="str">
        <f>IF(ABS($X$11-$AA$11)&lt;0.01,"OK","ERRO")</f>
        <v>OK</v>
      </c>
      <c r="AG11" s="36" t="str">
        <f ca="1">IF(ABS($Y$11-$AB$11)&lt;0.01,"OK","ERRO")</f>
        <v>ERRO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ERRO</v>
      </c>
    </row>
    <row r="12" spans="1:40" ht="11.25" customHeight="1" x14ac:dyDescent="0.2">
      <c r="A12" s="35" t="s">
        <v>21</v>
      </c>
      <c r="B12" s="35" t="s">
        <v>38</v>
      </c>
      <c r="C12" s="35" t="s">
        <v>39</v>
      </c>
      <c r="D12" s="35" t="s">
        <v>37</v>
      </c>
      <c r="E12" s="35" t="s">
        <v>25</v>
      </c>
      <c r="F12" s="35" t="s">
        <v>25</v>
      </c>
      <c r="G12" s="35" t="s">
        <v>25</v>
      </c>
      <c r="H12" s="35" t="s">
        <v>34</v>
      </c>
      <c r="I12" s="55">
        <v>44743</v>
      </c>
      <c r="J12" s="56">
        <f>EFEITO!$J$12*EFEITO!$Y$12</f>
        <v>0</v>
      </c>
      <c r="K12" s="56">
        <f ca="1">EFEITO!$L$12*EFEITO!$Z$12</f>
        <v>2404.0466816635185</v>
      </c>
      <c r="L12" s="56">
        <f>EFEITO!$N$12*EFEITO!$AA$12</f>
        <v>5112.8248153685499</v>
      </c>
      <c r="M12" s="56">
        <f>$J$12-EFEITO!$K$12*EFEITO!$Y$12</f>
        <v>0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44</v>
      </c>
      <c r="R12" s="56">
        <f>SUMIF($B$2:$B$300,$Q$12,$J$2:$J$300)</f>
        <v>0</v>
      </c>
      <c r="S12" s="56">
        <f ca="1">SUMIF($B$2:$B$300,$Q$12,$K$2:$K$300)</f>
        <v>145927.04096434746</v>
      </c>
      <c r="T12" s="56">
        <f>SUMIF($B$2:$B$300,$Q$12,$L$2:$L$300)</f>
        <v>80951.076400797829</v>
      </c>
      <c r="U12" s="56">
        <f>SUMIF($B$2:$B$300,$Q$12,$M$2:$M$300)</f>
        <v>0</v>
      </c>
      <c r="V12" s="56">
        <f ca="1">SUMIF($B$2:$B$300,$Q$12,$N$2:$N$300)</f>
        <v>0</v>
      </c>
      <c r="W12" s="56">
        <f>SUMIF($B$2:$B$300,$Q$12,$O$2:$O$300)</f>
        <v>0</v>
      </c>
      <c r="X12" s="36">
        <f>$R$12-$U$12</f>
        <v>0</v>
      </c>
      <c r="Y12" s="36">
        <f ca="1">$S$12-$V$12</f>
        <v>145927.04096434746</v>
      </c>
      <c r="Z12" s="36">
        <f>$T$12-$W$12</f>
        <v>80951.076400797829</v>
      </c>
      <c r="AA12" s="36">
        <f>SUMIF(EFEITO!$B$2:$B$300,$Q$12,EFEITO!$AE$2:$AE$300)</f>
        <v>0</v>
      </c>
      <c r="AB12" s="36">
        <f ca="1">SUMIF(EFEITO!$B$2:$B$300,$Q$12,EFEITO!$AF$2:$AF$300)</f>
        <v>145927.04096434746</v>
      </c>
      <c r="AC12" s="36">
        <f>SUMIF(EFEITO!$B$2:$B$300,$Q$12,EFEITO!$AG$2:$AH$300)</f>
        <v>80951.076400797829</v>
      </c>
      <c r="AD12" s="36">
        <f>SUMIF(SUBSIDIO!$B$2:$B$300,$Q$12,SUBSIDIO!$AD$2:$AD$300)</f>
        <v>0</v>
      </c>
      <c r="AE12" s="36">
        <f>SUMIF(SUBSIDIO!$B$2:$B$300,$Q$12,SUBSIDIO!$AE$2:$AE$300)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38</v>
      </c>
      <c r="C13" s="35" t="s">
        <v>39</v>
      </c>
      <c r="D13" s="35" t="s">
        <v>37</v>
      </c>
      <c r="E13" s="35" t="s">
        <v>25</v>
      </c>
      <c r="F13" s="35" t="s">
        <v>25</v>
      </c>
      <c r="G13" s="35" t="s">
        <v>25</v>
      </c>
      <c r="H13" s="35" t="s">
        <v>34</v>
      </c>
      <c r="I13" s="55">
        <v>44774</v>
      </c>
      <c r="J13" s="56">
        <f>EFEITO!$J$13*EFEITO!$Y$13</f>
        <v>0</v>
      </c>
      <c r="K13" s="56">
        <f ca="1">EFEITO!$L$13*EFEITO!$Z$13</f>
        <v>2969.7419544285913</v>
      </c>
      <c r="L13" s="56">
        <f>EFEITO!$N$13*EFEITO!$AA$13</f>
        <v>6315.9215982182777</v>
      </c>
      <c r="M13" s="56">
        <f>$J$13-EFEITO!$K$13*EFEITO!$Y$13</f>
        <v>0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79</v>
      </c>
      <c r="R13" s="56">
        <f>SUMIF($B$2:$B$300,$Q$13,$J$2:$J$300)</f>
        <v>0</v>
      </c>
      <c r="S13" s="56">
        <f>SUMIF($B$2:$B$300,$Q$13,$K$2:$K$300)</f>
        <v>0</v>
      </c>
      <c r="T13" s="56">
        <f>SUMIF($B$2:$B$300,$Q$13,$L$2:$L$300)</f>
        <v>0</v>
      </c>
      <c r="U13" s="56">
        <f>SUMIF($B$2:$B$300,$Q$13,$M$2:$M$300)</f>
        <v>0</v>
      </c>
      <c r="V13" s="56">
        <f>SUMIF($B$2:$B$300,$Q$13,$N$2:$N$300)</f>
        <v>0</v>
      </c>
      <c r="W13" s="56">
        <f>SUMIF($B$2:$B$300,$Q$13,$O$2:$O$300)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SUMIF(EFEITO!$B$2:$B$300,$Q$13,EFEITO!$AE$2:$AE$300)</f>
        <v>0</v>
      </c>
      <c r="AB13" s="36">
        <f>SUMIF(EFEITO!$B$2:$B$300,$Q$13,EFEITO!$AF$2:$AF$300)</f>
        <v>0</v>
      </c>
      <c r="AC13" s="36">
        <f>SUMIF(EFEITO!$B$2:$B$300,$Q$13,EFEITO!$AG$2:$AH$300)</f>
        <v>0</v>
      </c>
      <c r="AD13" s="36">
        <f>SUMIF(SUBSIDIO!$B$2:$B$300,$Q$13,SUBSIDIO!$AD$2:$AD$300)</f>
        <v>0</v>
      </c>
      <c r="AE13" s="36">
        <f>SUMIF(SUBSIDIO!$B$2:$B$300,$Q$13,SUBSIDIO!$AE$2:$AE$300)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38</v>
      </c>
      <c r="C14" s="35" t="s">
        <v>39</v>
      </c>
      <c r="D14" s="35" t="s">
        <v>37</v>
      </c>
      <c r="E14" s="35" t="s">
        <v>25</v>
      </c>
      <c r="F14" s="35" t="s">
        <v>25</v>
      </c>
      <c r="G14" s="35" t="s">
        <v>25</v>
      </c>
      <c r="H14" s="35" t="s">
        <v>25</v>
      </c>
      <c r="I14" s="55">
        <v>44440</v>
      </c>
      <c r="J14" s="56">
        <f ca="1">EFEITO!$J$14*EFEITO!$Y$14</f>
        <v>3543.0531580708798</v>
      </c>
      <c r="K14" s="56">
        <f>EFEITO!$L$14*EFEITO!$Z$14</f>
        <v>0</v>
      </c>
      <c r="L14" s="56">
        <f>EFEITO!$N$14*EFEITO!$AA$14</f>
        <v>0</v>
      </c>
      <c r="M14" s="56">
        <f ca="1">$J$14-EFEITO!$K$14*EFEITO!$Y$14</f>
        <v>0</v>
      </c>
      <c r="N14" s="56">
        <f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5" t="s">
        <v>21</v>
      </c>
      <c r="B15" s="35" t="s">
        <v>38</v>
      </c>
      <c r="C15" s="35" t="s">
        <v>39</v>
      </c>
      <c r="D15" s="35" t="s">
        <v>37</v>
      </c>
      <c r="E15" s="35" t="s">
        <v>25</v>
      </c>
      <c r="F15" s="35" t="s">
        <v>25</v>
      </c>
      <c r="G15" s="35" t="s">
        <v>25</v>
      </c>
      <c r="H15" s="35" t="s">
        <v>25</v>
      </c>
      <c r="I15" s="55">
        <v>44470</v>
      </c>
      <c r="J15" s="56">
        <f ca="1">EFEITO!$J$15*EFEITO!$Y$15</f>
        <v>6441.914832856145</v>
      </c>
      <c r="K15" s="56">
        <f>EFEITO!$L$15*EFEITO!$Z$15</f>
        <v>0</v>
      </c>
      <c r="L15" s="56">
        <f>EFEITO!$N$15*EFEITO!$AA$15</f>
        <v>0</v>
      </c>
      <c r="M15" s="56">
        <f ca="1">$J$15-EFEITO!$K$15*EFEITO!$Y$15</f>
        <v>0</v>
      </c>
      <c r="N15" s="56">
        <f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5" t="s">
        <v>21</v>
      </c>
      <c r="B16" s="35" t="s">
        <v>38</v>
      </c>
      <c r="C16" s="35" t="s">
        <v>39</v>
      </c>
      <c r="D16" s="35" t="s">
        <v>37</v>
      </c>
      <c r="E16" s="35" t="s">
        <v>25</v>
      </c>
      <c r="F16" s="35" t="s">
        <v>25</v>
      </c>
      <c r="G16" s="35" t="s">
        <v>25</v>
      </c>
      <c r="H16" s="35" t="s">
        <v>25</v>
      </c>
      <c r="I16" s="55">
        <v>44501</v>
      </c>
      <c r="J16" s="56">
        <f ca="1">EFEITO!$J$16*EFEITO!$Y$16</f>
        <v>6441.914832856145</v>
      </c>
      <c r="K16" s="56">
        <f>EFEITO!$L$16*EFEITO!$Z$16</f>
        <v>0</v>
      </c>
      <c r="L16" s="56">
        <f>EFEITO!$N$16*EFEITO!$AA$16</f>
        <v>0</v>
      </c>
      <c r="M16" s="56">
        <f ca="1">$J$16-EFEITO!$K$16*EFEITO!$Y$16</f>
        <v>0</v>
      </c>
      <c r="N16" s="56">
        <f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5" t="s">
        <v>21</v>
      </c>
      <c r="B17" s="35" t="s">
        <v>38</v>
      </c>
      <c r="C17" s="35" t="s">
        <v>39</v>
      </c>
      <c r="D17" s="35" t="s">
        <v>37</v>
      </c>
      <c r="E17" s="35" t="s">
        <v>25</v>
      </c>
      <c r="F17" s="35" t="s">
        <v>25</v>
      </c>
      <c r="G17" s="35" t="s">
        <v>25</v>
      </c>
      <c r="H17" s="35" t="s">
        <v>25</v>
      </c>
      <c r="I17" s="55">
        <v>44531</v>
      </c>
      <c r="J17" s="56">
        <f ca="1">EFEITO!$J$17*EFEITO!$Y$17</f>
        <v>6441.914832856145</v>
      </c>
      <c r="K17" s="56">
        <f>EFEITO!$L$17*EFEITO!$Z$17</f>
        <v>0</v>
      </c>
      <c r="L17" s="56">
        <f>EFEITO!$N$17*EFEITO!$AA$17</f>
        <v>0</v>
      </c>
      <c r="M17" s="56">
        <f ca="1">$J$17-EFEITO!$K$17*EFEITO!$Y$17</f>
        <v>0</v>
      </c>
      <c r="N17" s="56">
        <f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5" t="s">
        <v>21</v>
      </c>
      <c r="B18" s="35" t="s">
        <v>38</v>
      </c>
      <c r="C18" s="35" t="s">
        <v>39</v>
      </c>
      <c r="D18" s="35" t="s">
        <v>37</v>
      </c>
      <c r="E18" s="35" t="s">
        <v>25</v>
      </c>
      <c r="F18" s="35" t="s">
        <v>25</v>
      </c>
      <c r="G18" s="35" t="s">
        <v>25</v>
      </c>
      <c r="H18" s="35" t="s">
        <v>25</v>
      </c>
      <c r="I18" s="55">
        <v>44562</v>
      </c>
      <c r="J18" s="56">
        <f ca="1">EFEITO!$J$18*EFEITO!$Y$18</f>
        <v>6441.914832856145</v>
      </c>
      <c r="K18" s="56">
        <f>EFEITO!$L$18*EFEITO!$Z$18</f>
        <v>0</v>
      </c>
      <c r="L18" s="56">
        <f>EFEITO!$N$18*EFEITO!$AA$18</f>
        <v>0</v>
      </c>
      <c r="M18" s="56">
        <f ca="1">$J$18-EFEITO!$K$18*EFEITO!$Y$18</f>
        <v>0</v>
      </c>
      <c r="N18" s="56">
        <f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5" t="s">
        <v>21</v>
      </c>
      <c r="B19" s="35" t="s">
        <v>38</v>
      </c>
      <c r="C19" s="35" t="s">
        <v>39</v>
      </c>
      <c r="D19" s="35" t="s">
        <v>37</v>
      </c>
      <c r="E19" s="35" t="s">
        <v>25</v>
      </c>
      <c r="F19" s="35" t="s">
        <v>25</v>
      </c>
      <c r="G19" s="35" t="s">
        <v>25</v>
      </c>
      <c r="H19" s="35" t="s">
        <v>25</v>
      </c>
      <c r="I19" s="55">
        <v>44593</v>
      </c>
      <c r="J19" s="56">
        <f ca="1">EFEITO!$J$19*EFEITO!$Y$19</f>
        <v>6635.1722778418289</v>
      </c>
      <c r="K19" s="56">
        <f>EFEITO!$L$19*EFEITO!$Z$19</f>
        <v>0</v>
      </c>
      <c r="L19" s="56">
        <f>EFEITO!$N$19*EFEITO!$AA$19</f>
        <v>0</v>
      </c>
      <c r="M19" s="56">
        <f ca="1">$J$19-EFEITO!$K$19*EFEITO!$Y$19</f>
        <v>0</v>
      </c>
      <c r="N19" s="56">
        <f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5" t="s">
        <v>21</v>
      </c>
      <c r="B20" s="35" t="s">
        <v>38</v>
      </c>
      <c r="C20" s="35" t="s">
        <v>39</v>
      </c>
      <c r="D20" s="35" t="s">
        <v>37</v>
      </c>
      <c r="E20" s="35" t="s">
        <v>25</v>
      </c>
      <c r="F20" s="35" t="s">
        <v>25</v>
      </c>
      <c r="G20" s="35" t="s">
        <v>25</v>
      </c>
      <c r="H20" s="35" t="s">
        <v>25</v>
      </c>
      <c r="I20" s="55">
        <v>44621</v>
      </c>
      <c r="J20" s="56">
        <f ca="1">EFEITO!$J$20*EFEITO!$Y$20</f>
        <v>6441.914832856145</v>
      </c>
      <c r="K20" s="56">
        <f>EFEITO!$L$20*EFEITO!$Z$20</f>
        <v>0</v>
      </c>
      <c r="L20" s="56">
        <f>EFEITO!$N$20*EFEITO!$AA$20</f>
        <v>0</v>
      </c>
      <c r="M20" s="56">
        <f ca="1">$J$20-EFEITO!$K$20*EFEITO!$Y$20</f>
        <v>0</v>
      </c>
      <c r="N20" s="56">
        <f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5" t="s">
        <v>21</v>
      </c>
      <c r="B21" s="35" t="s">
        <v>38</v>
      </c>
      <c r="C21" s="35" t="s">
        <v>39</v>
      </c>
      <c r="D21" s="35" t="s">
        <v>37</v>
      </c>
      <c r="E21" s="35" t="s">
        <v>25</v>
      </c>
      <c r="F21" s="35" t="s">
        <v>25</v>
      </c>
      <c r="G21" s="35" t="s">
        <v>25</v>
      </c>
      <c r="H21" s="35" t="s">
        <v>25</v>
      </c>
      <c r="I21" s="55">
        <v>44652</v>
      </c>
      <c r="J21" s="56">
        <f ca="1">EFEITO!$J$21*EFEITO!$Y$21</f>
        <v>6441.914832856145</v>
      </c>
      <c r="K21" s="56">
        <f>EFEITO!$L$21*EFEITO!$Z$21</f>
        <v>0</v>
      </c>
      <c r="L21" s="56">
        <f>EFEITO!$N$21*EFEITO!$AA$21</f>
        <v>0</v>
      </c>
      <c r="M21" s="56">
        <f ca="1">$J$21-EFEITO!$K$21*EFEITO!$Y$21</f>
        <v>0</v>
      </c>
      <c r="N21" s="56">
        <f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5" t="s">
        <v>21</v>
      </c>
      <c r="B22" s="35" t="s">
        <v>38</v>
      </c>
      <c r="C22" s="35" t="s">
        <v>39</v>
      </c>
      <c r="D22" s="35" t="s">
        <v>37</v>
      </c>
      <c r="E22" s="35" t="s">
        <v>25</v>
      </c>
      <c r="F22" s="35" t="s">
        <v>25</v>
      </c>
      <c r="G22" s="35" t="s">
        <v>25</v>
      </c>
      <c r="H22" s="35" t="s">
        <v>25</v>
      </c>
      <c r="I22" s="55">
        <v>44682</v>
      </c>
      <c r="J22" s="56">
        <f ca="1">EFEITO!$J$22*EFEITO!$Y$22</f>
        <v>6441.914832856145</v>
      </c>
      <c r="K22" s="56">
        <f>EFEITO!$L$22*EFEITO!$Z$22</f>
        <v>0</v>
      </c>
      <c r="L22" s="56">
        <f>EFEITO!$N$22*EFEITO!$AA$22</f>
        <v>0</v>
      </c>
      <c r="M22" s="56">
        <f ca="1">$J$22-EFEITO!$K$22*EFEITO!$Y$22</f>
        <v>0</v>
      </c>
      <c r="N22" s="56">
        <f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5" t="s">
        <v>21</v>
      </c>
      <c r="B23" s="35" t="s">
        <v>38</v>
      </c>
      <c r="C23" s="35" t="s">
        <v>39</v>
      </c>
      <c r="D23" s="35" t="s">
        <v>37</v>
      </c>
      <c r="E23" s="35" t="s">
        <v>25</v>
      </c>
      <c r="F23" s="35" t="s">
        <v>25</v>
      </c>
      <c r="G23" s="35" t="s">
        <v>25</v>
      </c>
      <c r="H23" s="35" t="s">
        <v>25</v>
      </c>
      <c r="I23" s="55">
        <v>44713</v>
      </c>
      <c r="J23" s="56">
        <f ca="1">EFEITO!$J$23*EFEITO!$Y$23</f>
        <v>6441.914832856145</v>
      </c>
      <c r="K23" s="56">
        <f>EFEITO!$L$23*EFEITO!$Z$23</f>
        <v>0</v>
      </c>
      <c r="L23" s="56">
        <f>EFEITO!$N$23*EFEITO!$AA$23</f>
        <v>0</v>
      </c>
      <c r="M23" s="56">
        <f ca="1">$J$23-EFEITO!$K$23*EFEITO!$Y$23</f>
        <v>0</v>
      </c>
      <c r="N23" s="56">
        <f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5" t="s">
        <v>21</v>
      </c>
      <c r="B24" s="35" t="s">
        <v>38</v>
      </c>
      <c r="C24" s="35" t="s">
        <v>39</v>
      </c>
      <c r="D24" s="35" t="s">
        <v>37</v>
      </c>
      <c r="E24" s="35" t="s">
        <v>25</v>
      </c>
      <c r="F24" s="35" t="s">
        <v>25</v>
      </c>
      <c r="G24" s="35" t="s">
        <v>25</v>
      </c>
      <c r="H24" s="35" t="s">
        <v>25</v>
      </c>
      <c r="I24" s="55">
        <v>44743</v>
      </c>
      <c r="J24" s="56">
        <f ca="1">EFEITO!$J$24*EFEITO!$Y$24</f>
        <v>6441.914832856145</v>
      </c>
      <c r="K24" s="56">
        <f>EFEITO!$L$24*EFEITO!$Z$24</f>
        <v>0</v>
      </c>
      <c r="L24" s="56">
        <f>EFEITO!$N$24*EFEITO!$AA$24</f>
        <v>0</v>
      </c>
      <c r="M24" s="56">
        <f ca="1">$J$24-EFEITO!$K$24*EFEITO!$Y$24</f>
        <v>0</v>
      </c>
      <c r="N24" s="56">
        <f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5" t="s">
        <v>21</v>
      </c>
      <c r="B25" s="35" t="s">
        <v>38</v>
      </c>
      <c r="C25" s="35" t="s">
        <v>39</v>
      </c>
      <c r="D25" s="35" t="s">
        <v>37</v>
      </c>
      <c r="E25" s="35" t="s">
        <v>25</v>
      </c>
      <c r="F25" s="35" t="s">
        <v>25</v>
      </c>
      <c r="G25" s="35" t="s">
        <v>25</v>
      </c>
      <c r="H25" s="35" t="s">
        <v>25</v>
      </c>
      <c r="I25" s="55">
        <v>44774</v>
      </c>
      <c r="J25" s="56">
        <f ca="1">EFEITO!$J$25*EFEITO!$Y$25</f>
        <v>6441.914832856145</v>
      </c>
      <c r="K25" s="56">
        <f>EFEITO!$L$25*EFEITO!$Z$25</f>
        <v>0</v>
      </c>
      <c r="L25" s="56">
        <f>EFEITO!$N$25*EFEITO!$AA$25</f>
        <v>0</v>
      </c>
      <c r="M25" s="56">
        <f ca="1">$J$25-EFEITO!$K$25*EFEITO!$Y$25</f>
        <v>0</v>
      </c>
      <c r="N25" s="56">
        <f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5" t="s">
        <v>21</v>
      </c>
      <c r="B26" s="35" t="s">
        <v>38</v>
      </c>
      <c r="C26" s="35" t="s">
        <v>39</v>
      </c>
      <c r="D26" s="35" t="s">
        <v>37</v>
      </c>
      <c r="E26" s="35" t="s">
        <v>25</v>
      </c>
      <c r="F26" s="35" t="s">
        <v>25</v>
      </c>
      <c r="G26" s="35" t="s">
        <v>25</v>
      </c>
      <c r="H26" s="35" t="s">
        <v>40</v>
      </c>
      <c r="I26" s="55">
        <v>44440</v>
      </c>
      <c r="J26" s="56">
        <f>EFEITO!$J$26*EFEITO!$Y$26</f>
        <v>0</v>
      </c>
      <c r="K26" s="56">
        <f ca="1">EFEITO!$L$26*EFEITO!$Z$26</f>
        <v>2399.3134756984105</v>
      </c>
      <c r="L26" s="56">
        <f>EFEITO!$N$26*EFEITO!$AA$26</f>
        <v>254.67208694917059</v>
      </c>
      <c r="M26" s="56">
        <f>$J$26-EFEITO!$K$26*EFEITO!$Y$26</f>
        <v>0</v>
      </c>
      <c r="N26" s="56">
        <f ca="1"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5" t="s">
        <v>21</v>
      </c>
      <c r="B27" s="35" t="s">
        <v>38</v>
      </c>
      <c r="C27" s="35" t="s">
        <v>39</v>
      </c>
      <c r="D27" s="35" t="s">
        <v>37</v>
      </c>
      <c r="E27" s="35" t="s">
        <v>25</v>
      </c>
      <c r="F27" s="35" t="s">
        <v>25</v>
      </c>
      <c r="G27" s="35" t="s">
        <v>25</v>
      </c>
      <c r="H27" s="35" t="s">
        <v>40</v>
      </c>
      <c r="I27" s="55">
        <v>44470</v>
      </c>
      <c r="J27" s="56">
        <f>EFEITO!$J$27*EFEITO!$Y$27</f>
        <v>0</v>
      </c>
      <c r="K27" s="56">
        <f ca="1">EFEITO!$L$27*EFEITO!$Z$27</f>
        <v>2772.1454851356903</v>
      </c>
      <c r="L27" s="56">
        <f>EFEITO!$N$27*EFEITO!$AA$27</f>
        <v>294.24586790216011</v>
      </c>
      <c r="M27" s="56">
        <f>$J$27-EFEITO!$K$27*EFEITO!$Y$27</f>
        <v>0</v>
      </c>
      <c r="N27" s="56">
        <f ca="1"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5" t="s">
        <v>21</v>
      </c>
      <c r="B28" s="35" t="s">
        <v>38</v>
      </c>
      <c r="C28" s="35" t="s">
        <v>39</v>
      </c>
      <c r="D28" s="35" t="s">
        <v>37</v>
      </c>
      <c r="E28" s="35" t="s">
        <v>25</v>
      </c>
      <c r="F28" s="35" t="s">
        <v>25</v>
      </c>
      <c r="G28" s="35" t="s">
        <v>25</v>
      </c>
      <c r="H28" s="35" t="s">
        <v>40</v>
      </c>
      <c r="I28" s="55">
        <v>44501</v>
      </c>
      <c r="J28" s="56">
        <f>EFEITO!$J$28*EFEITO!$Y$28</f>
        <v>0</v>
      </c>
      <c r="K28" s="56">
        <f ca="1">EFEITO!$L$28*EFEITO!$Z$28</f>
        <v>2285.1812279114883</v>
      </c>
      <c r="L28" s="56">
        <f>EFEITO!$N$28*EFEITO!$AA$28</f>
        <v>242.55766420845953</v>
      </c>
      <c r="M28" s="56">
        <f>$J$28-EFEITO!$K$28*EFEITO!$Y$28</f>
        <v>0</v>
      </c>
      <c r="N28" s="56">
        <f ca="1"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5" t="s">
        <v>21</v>
      </c>
      <c r="B29" s="35" t="s">
        <v>38</v>
      </c>
      <c r="C29" s="35" t="s">
        <v>39</v>
      </c>
      <c r="D29" s="35" t="s">
        <v>37</v>
      </c>
      <c r="E29" s="35" t="s">
        <v>25</v>
      </c>
      <c r="F29" s="35" t="s">
        <v>25</v>
      </c>
      <c r="G29" s="35" t="s">
        <v>25</v>
      </c>
      <c r="H29" s="35" t="s">
        <v>40</v>
      </c>
      <c r="I29" s="55">
        <v>44531</v>
      </c>
      <c r="J29" s="56">
        <f>EFEITO!$J$29*EFEITO!$Y$29</f>
        <v>0</v>
      </c>
      <c r="K29" s="56">
        <f ca="1">EFEITO!$L$29*EFEITO!$Z$29</f>
        <v>2617.4328825800844</v>
      </c>
      <c r="L29" s="56">
        <f>EFEITO!$N$29*EFEITO!$AA$29</f>
        <v>277.82409485364064</v>
      </c>
      <c r="M29" s="56">
        <f>$J$29-EFEITO!$K$29*EFEITO!$Y$29</f>
        <v>0</v>
      </c>
      <c r="N29" s="56">
        <f ca="1"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5" t="s">
        <v>21</v>
      </c>
      <c r="B30" s="35" t="s">
        <v>38</v>
      </c>
      <c r="C30" s="35" t="s">
        <v>39</v>
      </c>
      <c r="D30" s="35" t="s">
        <v>37</v>
      </c>
      <c r="E30" s="35" t="s">
        <v>25</v>
      </c>
      <c r="F30" s="35" t="s">
        <v>25</v>
      </c>
      <c r="G30" s="35" t="s">
        <v>25</v>
      </c>
      <c r="H30" s="35" t="s">
        <v>40</v>
      </c>
      <c r="I30" s="55">
        <v>44562</v>
      </c>
      <c r="J30" s="56">
        <f>EFEITO!$J$30*EFEITO!$Y$30</f>
        <v>0</v>
      </c>
      <c r="K30" s="56">
        <f ca="1">EFEITO!$L$30*EFEITO!$Z$30</f>
        <v>2490.6192739279486</v>
      </c>
      <c r="L30" s="56">
        <f>EFEITO!$N$30*EFEITO!$AA$30</f>
        <v>264.36362514173948</v>
      </c>
      <c r="M30" s="56">
        <f>$J$30-EFEITO!$K$30*EFEITO!$Y$30</f>
        <v>0</v>
      </c>
      <c r="N30" s="56">
        <f ca="1"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5" t="s">
        <v>21</v>
      </c>
      <c r="B31" s="35" t="s">
        <v>38</v>
      </c>
      <c r="C31" s="35" t="s">
        <v>39</v>
      </c>
      <c r="D31" s="35" t="s">
        <v>37</v>
      </c>
      <c r="E31" s="35" t="s">
        <v>25</v>
      </c>
      <c r="F31" s="35" t="s">
        <v>25</v>
      </c>
      <c r="G31" s="35" t="s">
        <v>25</v>
      </c>
      <c r="H31" s="35" t="s">
        <v>40</v>
      </c>
      <c r="I31" s="55">
        <v>44593</v>
      </c>
      <c r="J31" s="56">
        <f>EFEITO!$J$31*EFEITO!$Y$31</f>
        <v>0</v>
      </c>
      <c r="K31" s="56">
        <f ca="1">EFEITO!$L$31*EFEITO!$Z$31</f>
        <v>2173.5852522976088</v>
      </c>
      <c r="L31" s="56">
        <f>EFEITO!$N$31*EFEITO!$AA$31</f>
        <v>230.71245086198647</v>
      </c>
      <c r="M31" s="56">
        <f>$J$31-EFEITO!$K$31*EFEITO!$Y$31</f>
        <v>0</v>
      </c>
      <c r="N31" s="56">
        <f ca="1"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5" t="s">
        <v>21</v>
      </c>
      <c r="B32" s="35" t="s">
        <v>38</v>
      </c>
      <c r="C32" s="35" t="s">
        <v>39</v>
      </c>
      <c r="D32" s="35" t="s">
        <v>37</v>
      </c>
      <c r="E32" s="35" t="s">
        <v>25</v>
      </c>
      <c r="F32" s="35" t="s">
        <v>25</v>
      </c>
      <c r="G32" s="35" t="s">
        <v>25</v>
      </c>
      <c r="H32" s="35" t="s">
        <v>40</v>
      </c>
      <c r="I32" s="55">
        <v>44621</v>
      </c>
      <c r="J32" s="56">
        <f>EFEITO!$J$32*EFEITO!$Y$32</f>
        <v>0</v>
      </c>
      <c r="K32" s="56">
        <f ca="1">EFEITO!$L$32*EFEITO!$Z$32</f>
        <v>2640.2593321374688</v>
      </c>
      <c r="L32" s="56">
        <f>EFEITO!$N$32*EFEITO!$AA$32</f>
        <v>280.24697940178282</v>
      </c>
      <c r="M32" s="56">
        <f>$J$32-EFEITO!$K$32*EFEITO!$Y$32</f>
        <v>0</v>
      </c>
      <c r="N32" s="56">
        <f ca="1"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5" t="s">
        <v>21</v>
      </c>
      <c r="B33" s="35" t="s">
        <v>38</v>
      </c>
      <c r="C33" s="35" t="s">
        <v>39</v>
      </c>
      <c r="D33" s="35" t="s">
        <v>37</v>
      </c>
      <c r="E33" s="35" t="s">
        <v>25</v>
      </c>
      <c r="F33" s="35" t="s">
        <v>25</v>
      </c>
      <c r="G33" s="35" t="s">
        <v>25</v>
      </c>
      <c r="H33" s="35" t="s">
        <v>40</v>
      </c>
      <c r="I33" s="55">
        <v>44652</v>
      </c>
      <c r="J33" s="56">
        <f>EFEITO!$J$33*EFEITO!$Y$33</f>
        <v>0</v>
      </c>
      <c r="K33" s="56">
        <f ca="1">EFEITO!$L$33*EFEITO!$Z$33</f>
        <v>2029.0177384341741</v>
      </c>
      <c r="L33" s="56">
        <f>EFEITO!$N$33*EFEITO!$AA$33</f>
        <v>215.36751539041913</v>
      </c>
      <c r="M33" s="56">
        <f>$J$33-EFEITO!$K$33*EFEITO!$Y$33</f>
        <v>0</v>
      </c>
      <c r="N33" s="56">
        <f ca="1"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5" t="s">
        <v>21</v>
      </c>
      <c r="B34" s="35" t="s">
        <v>38</v>
      </c>
      <c r="C34" s="35" t="s">
        <v>39</v>
      </c>
      <c r="D34" s="35" t="s">
        <v>37</v>
      </c>
      <c r="E34" s="35" t="s">
        <v>25</v>
      </c>
      <c r="F34" s="35" t="s">
        <v>25</v>
      </c>
      <c r="G34" s="35" t="s">
        <v>25</v>
      </c>
      <c r="H34" s="35" t="s">
        <v>40</v>
      </c>
      <c r="I34" s="55">
        <v>44682</v>
      </c>
      <c r="J34" s="56">
        <f>EFEITO!$J$34*EFEITO!$Y$34</f>
        <v>0</v>
      </c>
      <c r="K34" s="56">
        <f ca="1">EFEITO!$L$34*EFEITO!$Z$34</f>
        <v>3010.5550694017056</v>
      </c>
      <c r="L34" s="56">
        <f>EFEITO!$N$34*EFEITO!$AA$34</f>
        <v>319.55155096053437</v>
      </c>
      <c r="M34" s="56">
        <f>$J$34-EFEITO!$K$34*EFEITO!$Y$34</f>
        <v>0</v>
      </c>
      <c r="N34" s="56">
        <f ca="1"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5" t="s">
        <v>21</v>
      </c>
      <c r="B35" s="35" t="s">
        <v>38</v>
      </c>
      <c r="C35" s="35" t="s">
        <v>39</v>
      </c>
      <c r="D35" s="35" t="s">
        <v>37</v>
      </c>
      <c r="E35" s="35" t="s">
        <v>25</v>
      </c>
      <c r="F35" s="35" t="s">
        <v>25</v>
      </c>
      <c r="G35" s="35" t="s">
        <v>25</v>
      </c>
      <c r="H35" s="35" t="s">
        <v>40</v>
      </c>
      <c r="I35" s="55">
        <v>44713</v>
      </c>
      <c r="J35" s="56">
        <f>EFEITO!$J$35*EFEITO!$Y$35</f>
        <v>0</v>
      </c>
      <c r="K35" s="56">
        <f ca="1">EFEITO!$L$35*EFEITO!$Z$35</f>
        <v>3507.6644153180782</v>
      </c>
      <c r="L35" s="56">
        <f>EFEITO!$N$35*EFEITO!$AA$35</f>
        <v>372.31659223118703</v>
      </c>
      <c r="M35" s="56">
        <f>$J$35-EFEITO!$K$35*EFEITO!$Y$35</f>
        <v>0</v>
      </c>
      <c r="N35" s="56">
        <f ca="1"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5" t="s">
        <v>21</v>
      </c>
      <c r="B36" s="35" t="s">
        <v>38</v>
      </c>
      <c r="C36" s="35" t="s">
        <v>39</v>
      </c>
      <c r="D36" s="35" t="s">
        <v>37</v>
      </c>
      <c r="E36" s="35" t="s">
        <v>25</v>
      </c>
      <c r="F36" s="35" t="s">
        <v>25</v>
      </c>
      <c r="G36" s="35" t="s">
        <v>25</v>
      </c>
      <c r="H36" s="35" t="s">
        <v>40</v>
      </c>
      <c r="I36" s="55">
        <v>44743</v>
      </c>
      <c r="J36" s="56">
        <f>EFEITO!$J$36*EFEITO!$Y$36</f>
        <v>0</v>
      </c>
      <c r="K36" s="56">
        <f ca="1">EFEITO!$L$36*EFEITO!$Z$36</f>
        <v>3784.1180821797343</v>
      </c>
      <c r="L36" s="56">
        <f>EFEITO!$N$36*EFEITO!$AA$36</f>
        <v>401.66041620313166</v>
      </c>
      <c r="M36" s="56">
        <f>$J$36-EFEITO!$K$36*EFEITO!$Y$36</f>
        <v>0</v>
      </c>
      <c r="N36" s="56">
        <f ca="1"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5" t="s">
        <v>21</v>
      </c>
      <c r="B37" s="35" t="s">
        <v>38</v>
      </c>
      <c r="C37" s="35" t="s">
        <v>39</v>
      </c>
      <c r="D37" s="35" t="s">
        <v>37</v>
      </c>
      <c r="E37" s="35" t="s">
        <v>25</v>
      </c>
      <c r="F37" s="35" t="s">
        <v>25</v>
      </c>
      <c r="G37" s="35" t="s">
        <v>25</v>
      </c>
      <c r="H37" s="35" t="s">
        <v>40</v>
      </c>
      <c r="I37" s="55">
        <v>44774</v>
      </c>
      <c r="J37" s="56">
        <f>EFEITO!$J$37*EFEITO!$Y$37</f>
        <v>0</v>
      </c>
      <c r="K37" s="56">
        <f ca="1">EFEITO!$L$37*EFEITO!$Z$37</f>
        <v>4900.0778383185298</v>
      </c>
      <c r="L37" s="56">
        <f>EFEITO!$N$37*EFEITO!$AA$37</f>
        <v>520.11254966786214</v>
      </c>
      <c r="M37" s="56">
        <f>$J$37-EFEITO!$K$37*EFEITO!$Y$37</f>
        <v>0</v>
      </c>
      <c r="N37" s="56">
        <f ca="1"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5" t="s">
        <v>21</v>
      </c>
      <c r="B38" s="35" t="s">
        <v>38</v>
      </c>
      <c r="C38" s="35" t="s">
        <v>39</v>
      </c>
      <c r="D38" s="35" t="s">
        <v>49</v>
      </c>
      <c r="E38" s="35" t="s">
        <v>25</v>
      </c>
      <c r="F38" s="35" t="s">
        <v>50</v>
      </c>
      <c r="G38" s="35" t="s">
        <v>25</v>
      </c>
      <c r="H38" s="35" t="s">
        <v>34</v>
      </c>
      <c r="I38" s="55">
        <v>44440</v>
      </c>
      <c r="J38" s="56">
        <f>EFEITO!$J$38*EFEITO!$Y$38</f>
        <v>0</v>
      </c>
      <c r="K38" s="56">
        <f ca="1">EFEITO!$L$38*EFEITO!$Z$38</f>
        <v>100507.04999829429</v>
      </c>
      <c r="L38" s="56">
        <f>EFEITO!$N$38*EFEITO!$AA$38</f>
        <v>0</v>
      </c>
      <c r="M38" s="56">
        <f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5" t="s">
        <v>21</v>
      </c>
      <c r="B39" s="35" t="s">
        <v>38</v>
      </c>
      <c r="C39" s="35" t="s">
        <v>39</v>
      </c>
      <c r="D39" s="35" t="s">
        <v>49</v>
      </c>
      <c r="E39" s="35" t="s">
        <v>25</v>
      </c>
      <c r="F39" s="35" t="s">
        <v>50</v>
      </c>
      <c r="G39" s="35" t="s">
        <v>25</v>
      </c>
      <c r="H39" s="35" t="s">
        <v>34</v>
      </c>
      <c r="I39" s="55">
        <v>44470</v>
      </c>
      <c r="J39" s="56">
        <f>EFEITO!$J$39*EFEITO!$Y$39</f>
        <v>0</v>
      </c>
      <c r="K39" s="56">
        <f ca="1">EFEITO!$L$39*EFEITO!$Z$39</f>
        <v>95612.501080861519</v>
      </c>
      <c r="L39" s="56">
        <f>EFEITO!$N$39*EFEITO!$AA$39</f>
        <v>0</v>
      </c>
      <c r="M39" s="56">
        <f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5" t="s">
        <v>21</v>
      </c>
      <c r="B40" s="35" t="s">
        <v>38</v>
      </c>
      <c r="C40" s="35" t="s">
        <v>39</v>
      </c>
      <c r="D40" s="35" t="s">
        <v>49</v>
      </c>
      <c r="E40" s="35" t="s">
        <v>25</v>
      </c>
      <c r="F40" s="35" t="s">
        <v>50</v>
      </c>
      <c r="G40" s="35" t="s">
        <v>25</v>
      </c>
      <c r="H40" s="35" t="s">
        <v>34</v>
      </c>
      <c r="I40" s="55">
        <v>44501</v>
      </c>
      <c r="J40" s="56">
        <f>EFEITO!$J$40*EFEITO!$Y$40</f>
        <v>0</v>
      </c>
      <c r="K40" s="56">
        <f ca="1">EFEITO!$L$40*EFEITO!$Z$40</f>
        <v>98701.609927708429</v>
      </c>
      <c r="L40" s="56">
        <f>EFEITO!$N$40*EFEITO!$AA$40</f>
        <v>0</v>
      </c>
      <c r="M40" s="56">
        <f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5" t="s">
        <v>21</v>
      </c>
      <c r="B41" s="35" t="s">
        <v>38</v>
      </c>
      <c r="C41" s="35" t="s">
        <v>39</v>
      </c>
      <c r="D41" s="35" t="s">
        <v>49</v>
      </c>
      <c r="E41" s="35" t="s">
        <v>25</v>
      </c>
      <c r="F41" s="35" t="s">
        <v>50</v>
      </c>
      <c r="G41" s="35" t="s">
        <v>25</v>
      </c>
      <c r="H41" s="35" t="s">
        <v>34</v>
      </c>
      <c r="I41" s="55">
        <v>44531</v>
      </c>
      <c r="J41" s="56">
        <f>EFEITO!$J$41*EFEITO!$Y$41</f>
        <v>0</v>
      </c>
      <c r="K41" s="56">
        <f ca="1">EFEITO!$L$41*EFEITO!$Z$41</f>
        <v>109951.4648553708</v>
      </c>
      <c r="L41" s="56">
        <f>EFEITO!$N$41*EFEITO!$AA$41</f>
        <v>0</v>
      </c>
      <c r="M41" s="56">
        <f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5" t="s">
        <v>21</v>
      </c>
      <c r="B42" s="35" t="s">
        <v>38</v>
      </c>
      <c r="C42" s="35" t="s">
        <v>39</v>
      </c>
      <c r="D42" s="35" t="s">
        <v>49</v>
      </c>
      <c r="E42" s="35" t="s">
        <v>25</v>
      </c>
      <c r="F42" s="35" t="s">
        <v>50</v>
      </c>
      <c r="G42" s="35" t="s">
        <v>25</v>
      </c>
      <c r="H42" s="35" t="s">
        <v>34</v>
      </c>
      <c r="I42" s="55">
        <v>44562</v>
      </c>
      <c r="J42" s="56">
        <f>EFEITO!$J$42*EFEITO!$Y$42</f>
        <v>0</v>
      </c>
      <c r="K42" s="56">
        <f ca="1">EFEITO!$L$42*EFEITO!$Z$42</f>
        <v>109947.16106497606</v>
      </c>
      <c r="L42" s="56">
        <f>EFEITO!$N$42*EFEITO!$AA$42</f>
        <v>0</v>
      </c>
      <c r="M42" s="56">
        <f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5" t="s">
        <v>21</v>
      </c>
      <c r="B43" s="35" t="s">
        <v>38</v>
      </c>
      <c r="C43" s="35" t="s">
        <v>39</v>
      </c>
      <c r="D43" s="35" t="s">
        <v>49</v>
      </c>
      <c r="E43" s="35" t="s">
        <v>25</v>
      </c>
      <c r="F43" s="35" t="s">
        <v>50</v>
      </c>
      <c r="G43" s="35" t="s">
        <v>25</v>
      </c>
      <c r="H43" s="35" t="s">
        <v>34</v>
      </c>
      <c r="I43" s="55">
        <v>44593</v>
      </c>
      <c r="J43" s="56">
        <f>EFEITO!$J$43*EFEITO!$Y$43</f>
        <v>0</v>
      </c>
      <c r="K43" s="56">
        <f ca="1">EFEITO!$L$43*EFEITO!$Z$43</f>
        <v>103740.20924129395</v>
      </c>
      <c r="L43" s="56">
        <f>EFEITO!$N$43*EFEITO!$AA$43</f>
        <v>0</v>
      </c>
      <c r="M43" s="56">
        <f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5" t="s">
        <v>21</v>
      </c>
      <c r="B44" s="35" t="s">
        <v>38</v>
      </c>
      <c r="C44" s="35" t="s">
        <v>39</v>
      </c>
      <c r="D44" s="35" t="s">
        <v>49</v>
      </c>
      <c r="E44" s="35" t="s">
        <v>25</v>
      </c>
      <c r="F44" s="35" t="s">
        <v>50</v>
      </c>
      <c r="G44" s="35" t="s">
        <v>25</v>
      </c>
      <c r="H44" s="35" t="s">
        <v>34</v>
      </c>
      <c r="I44" s="55">
        <v>44621</v>
      </c>
      <c r="J44" s="56">
        <f>EFEITO!$J$44*EFEITO!$Y$44</f>
        <v>0</v>
      </c>
      <c r="K44" s="56">
        <f ca="1">EFEITO!$L$44*EFEITO!$Z$44</f>
        <v>105103.11839364606</v>
      </c>
      <c r="L44" s="56">
        <f>EFEITO!$N$44*EFEITO!$AA$44</f>
        <v>0</v>
      </c>
      <c r="M44" s="56">
        <f>$J$44-EFEITO!$K$44*EFEITO!$Y$44</f>
        <v>0</v>
      </c>
      <c r="N44" s="56">
        <f ca="1"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5" t="s">
        <v>21</v>
      </c>
      <c r="B45" s="35" t="s">
        <v>38</v>
      </c>
      <c r="C45" s="35" t="s">
        <v>39</v>
      </c>
      <c r="D45" s="35" t="s">
        <v>49</v>
      </c>
      <c r="E45" s="35" t="s">
        <v>25</v>
      </c>
      <c r="F45" s="35" t="s">
        <v>50</v>
      </c>
      <c r="G45" s="35" t="s">
        <v>25</v>
      </c>
      <c r="H45" s="35" t="s">
        <v>34</v>
      </c>
      <c r="I45" s="55">
        <v>44652</v>
      </c>
      <c r="J45" s="56">
        <f>EFEITO!$J$45*EFEITO!$Y$45</f>
        <v>0</v>
      </c>
      <c r="K45" s="56">
        <f ca="1">EFEITO!$L$45*EFEITO!$Z$45</f>
        <v>100033.12672659315</v>
      </c>
      <c r="L45" s="56">
        <f>EFEITO!$N$45*EFEITO!$AA$45</f>
        <v>0</v>
      </c>
      <c r="M45" s="56">
        <f>$J$45-EFEITO!$K$45*EFEITO!$Y$45</f>
        <v>0</v>
      </c>
      <c r="N45" s="56">
        <f ca="1">$K$45-EFEITO!$M$45*EFEITO!$Z$45</f>
        <v>0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5" t="s">
        <v>21</v>
      </c>
      <c r="B46" s="35" t="s">
        <v>38</v>
      </c>
      <c r="C46" s="35" t="s">
        <v>39</v>
      </c>
      <c r="D46" s="35" t="s">
        <v>49</v>
      </c>
      <c r="E46" s="35" t="s">
        <v>25</v>
      </c>
      <c r="F46" s="35" t="s">
        <v>50</v>
      </c>
      <c r="G46" s="35" t="s">
        <v>25</v>
      </c>
      <c r="H46" s="35" t="s">
        <v>34</v>
      </c>
      <c r="I46" s="55">
        <v>44682</v>
      </c>
      <c r="J46" s="56">
        <f>EFEITO!$J$46*EFEITO!$Y$46</f>
        <v>0</v>
      </c>
      <c r="K46" s="56">
        <f ca="1">EFEITO!$L$46*EFEITO!$Z$46</f>
        <v>104060.20871534858</v>
      </c>
      <c r="L46" s="56">
        <f>EFEITO!$N$46*EFEITO!$AA$46</f>
        <v>0</v>
      </c>
      <c r="M46" s="56">
        <f>$J$46-EFEITO!$K$46*EFEITO!$Y$46</f>
        <v>0</v>
      </c>
      <c r="N46" s="56">
        <f ca="1"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5" t="s">
        <v>21</v>
      </c>
      <c r="B47" s="35" t="s">
        <v>38</v>
      </c>
      <c r="C47" s="35" t="s">
        <v>39</v>
      </c>
      <c r="D47" s="35" t="s">
        <v>49</v>
      </c>
      <c r="E47" s="35" t="s">
        <v>25</v>
      </c>
      <c r="F47" s="35" t="s">
        <v>50</v>
      </c>
      <c r="G47" s="35" t="s">
        <v>25</v>
      </c>
      <c r="H47" s="35" t="s">
        <v>34</v>
      </c>
      <c r="I47" s="55">
        <v>44713</v>
      </c>
      <c r="J47" s="56">
        <f>EFEITO!$J$47*EFEITO!$Y$47</f>
        <v>0</v>
      </c>
      <c r="K47" s="56">
        <f ca="1">EFEITO!$L$47*EFEITO!$Z$47</f>
        <v>98490.217870085311</v>
      </c>
      <c r="L47" s="56">
        <f>EFEITO!$N$47*EFEITO!$AA$47</f>
        <v>0</v>
      </c>
      <c r="M47" s="56">
        <f>$J$47-EFEITO!$K$47*EFEITO!$Y$47</f>
        <v>0</v>
      </c>
      <c r="N47" s="56">
        <f ca="1"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5" t="s">
        <v>21</v>
      </c>
      <c r="B48" s="35" t="s">
        <v>38</v>
      </c>
      <c r="C48" s="35" t="s">
        <v>39</v>
      </c>
      <c r="D48" s="35" t="s">
        <v>49</v>
      </c>
      <c r="E48" s="35" t="s">
        <v>25</v>
      </c>
      <c r="F48" s="35" t="s">
        <v>50</v>
      </c>
      <c r="G48" s="35" t="s">
        <v>25</v>
      </c>
      <c r="H48" s="35" t="s">
        <v>34</v>
      </c>
      <c r="I48" s="55">
        <v>44743</v>
      </c>
      <c r="J48" s="56">
        <f>EFEITO!$J$48*EFEITO!$Y$48</f>
        <v>0</v>
      </c>
      <c r="K48" s="56">
        <f ca="1">EFEITO!$L$48*EFEITO!$Z$48</f>
        <v>113569.18042834591</v>
      </c>
      <c r="L48" s="56">
        <f>EFEITO!$N$48*EFEITO!$AA$48</f>
        <v>0</v>
      </c>
      <c r="M48" s="56">
        <f>$J$48-EFEITO!$K$48*EFEITO!$Y$48</f>
        <v>0</v>
      </c>
      <c r="N48" s="56">
        <f ca="1"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5" t="s">
        <v>21</v>
      </c>
      <c r="B49" s="35" t="s">
        <v>38</v>
      </c>
      <c r="C49" s="35" t="s">
        <v>39</v>
      </c>
      <c r="D49" s="35" t="s">
        <v>49</v>
      </c>
      <c r="E49" s="35" t="s">
        <v>25</v>
      </c>
      <c r="F49" s="35" t="s">
        <v>50</v>
      </c>
      <c r="G49" s="35" t="s">
        <v>25</v>
      </c>
      <c r="H49" s="35" t="s">
        <v>34</v>
      </c>
      <c r="I49" s="55">
        <v>44774</v>
      </c>
      <c r="J49" s="56">
        <f>EFEITO!$J$49*EFEITO!$Y$49</f>
        <v>0</v>
      </c>
      <c r="K49" s="56">
        <f ca="1">EFEITO!$L$49*EFEITO!$Z$49</f>
        <v>110716.90663527913</v>
      </c>
      <c r="L49" s="56">
        <f>EFEITO!$N$49*EFEITO!$AA$49</f>
        <v>0</v>
      </c>
      <c r="M49" s="56">
        <f>$J$49-EFEITO!$K$49*EFEITO!$Y$49</f>
        <v>0</v>
      </c>
      <c r="N49" s="56">
        <f ca="1"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5" t="s">
        <v>21</v>
      </c>
      <c r="B50" s="35" t="s">
        <v>38</v>
      </c>
      <c r="C50" s="35" t="s">
        <v>39</v>
      </c>
      <c r="D50" s="35" t="s">
        <v>49</v>
      </c>
      <c r="E50" s="35" t="s">
        <v>25</v>
      </c>
      <c r="F50" s="35" t="s">
        <v>50</v>
      </c>
      <c r="G50" s="35" t="s">
        <v>25</v>
      </c>
      <c r="H50" s="35" t="s">
        <v>25</v>
      </c>
      <c r="I50" s="55">
        <v>44440</v>
      </c>
      <c r="J50" s="56">
        <f ca="1">EFEITO!$J$50*EFEITO!$Y$50</f>
        <v>67640.105744989516</v>
      </c>
      <c r="K50" s="56">
        <f>EFEITO!$L$50*EFEITO!$Z$50</f>
        <v>0</v>
      </c>
      <c r="L50" s="56">
        <f>EFEITO!$N$50*EFEITO!$AA$50</f>
        <v>0</v>
      </c>
      <c r="M50" s="56">
        <f ca="1">$J$50-EFEITO!$K$50*EFEITO!$Y$50</f>
        <v>0</v>
      </c>
      <c r="N50" s="56">
        <f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5" t="s">
        <v>21</v>
      </c>
      <c r="B51" s="35" t="s">
        <v>38</v>
      </c>
      <c r="C51" s="35" t="s">
        <v>39</v>
      </c>
      <c r="D51" s="35" t="s">
        <v>49</v>
      </c>
      <c r="E51" s="35" t="s">
        <v>25</v>
      </c>
      <c r="F51" s="35" t="s">
        <v>50</v>
      </c>
      <c r="G51" s="35" t="s">
        <v>25</v>
      </c>
      <c r="H51" s="35" t="s">
        <v>25</v>
      </c>
      <c r="I51" s="55">
        <v>44470</v>
      </c>
      <c r="J51" s="56">
        <f ca="1">EFEITO!$J$51*EFEITO!$Y$51</f>
        <v>67640.105744989516</v>
      </c>
      <c r="K51" s="56">
        <f>EFEITO!$L$51*EFEITO!$Z$51</f>
        <v>0</v>
      </c>
      <c r="L51" s="56">
        <f>EFEITO!$N$51*EFEITO!$AA$51</f>
        <v>0</v>
      </c>
      <c r="M51" s="56">
        <f ca="1">$J$51-EFEITO!$K$51*EFEITO!$Y$51</f>
        <v>0</v>
      </c>
      <c r="N51" s="56">
        <f>$K$51-EFEITO!$M$51*EFEITO!$Z$51</f>
        <v>0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5" t="s">
        <v>21</v>
      </c>
      <c r="B52" s="35" t="s">
        <v>38</v>
      </c>
      <c r="C52" s="35" t="s">
        <v>39</v>
      </c>
      <c r="D52" s="35" t="s">
        <v>49</v>
      </c>
      <c r="E52" s="35" t="s">
        <v>25</v>
      </c>
      <c r="F52" s="35" t="s">
        <v>50</v>
      </c>
      <c r="G52" s="35" t="s">
        <v>25</v>
      </c>
      <c r="H52" s="35" t="s">
        <v>25</v>
      </c>
      <c r="I52" s="55">
        <v>44501</v>
      </c>
      <c r="J52" s="56">
        <f ca="1">EFEITO!$J$52*EFEITO!$Y$52</f>
        <v>67640.105744989516</v>
      </c>
      <c r="K52" s="56">
        <f>EFEITO!$L$52*EFEITO!$Z$52</f>
        <v>0</v>
      </c>
      <c r="L52" s="56">
        <f>EFEITO!$N$52*EFEITO!$AA$52</f>
        <v>0</v>
      </c>
      <c r="M52" s="56">
        <f ca="1">$J$52-EFEITO!$K$52*EFEITO!$Y$52</f>
        <v>0</v>
      </c>
      <c r="N52" s="56">
        <f>$K$52-EFEITO!$M$52*EFEITO!$Z$52</f>
        <v>0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5" t="s">
        <v>21</v>
      </c>
      <c r="B53" s="35" t="s">
        <v>38</v>
      </c>
      <c r="C53" s="35" t="s">
        <v>39</v>
      </c>
      <c r="D53" s="35" t="s">
        <v>49</v>
      </c>
      <c r="E53" s="35" t="s">
        <v>25</v>
      </c>
      <c r="F53" s="35" t="s">
        <v>50</v>
      </c>
      <c r="G53" s="35" t="s">
        <v>25</v>
      </c>
      <c r="H53" s="35" t="s">
        <v>25</v>
      </c>
      <c r="I53" s="55">
        <v>44531</v>
      </c>
      <c r="J53" s="56">
        <f ca="1">EFEITO!$J$53*EFEITO!$Y$53</f>
        <v>67640.105744989516</v>
      </c>
      <c r="K53" s="56">
        <f>EFEITO!$L$53*EFEITO!$Z$53</f>
        <v>0</v>
      </c>
      <c r="L53" s="56">
        <f>EFEITO!$N$53*EFEITO!$AA$53</f>
        <v>0</v>
      </c>
      <c r="M53" s="56">
        <f ca="1">$J$53-EFEITO!$K$53*EFEITO!$Y$53</f>
        <v>0</v>
      </c>
      <c r="N53" s="56">
        <f>$K$53-EFEITO!$M$53*EFEITO!$Z$53</f>
        <v>0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5" t="s">
        <v>21</v>
      </c>
      <c r="B54" s="35" t="s">
        <v>38</v>
      </c>
      <c r="C54" s="35" t="s">
        <v>39</v>
      </c>
      <c r="D54" s="35" t="s">
        <v>49</v>
      </c>
      <c r="E54" s="35" t="s">
        <v>25</v>
      </c>
      <c r="F54" s="35" t="s">
        <v>50</v>
      </c>
      <c r="G54" s="35" t="s">
        <v>25</v>
      </c>
      <c r="H54" s="35" t="s">
        <v>25</v>
      </c>
      <c r="I54" s="55">
        <v>44562</v>
      </c>
      <c r="J54" s="56">
        <f ca="1">EFEITO!$J$54*EFEITO!$Y$54</f>
        <v>67640.105744989516</v>
      </c>
      <c r="K54" s="56">
        <f>EFEITO!$L$54*EFEITO!$Z$54</f>
        <v>0</v>
      </c>
      <c r="L54" s="56">
        <f>EFEITO!$N$54*EFEITO!$AA$54</f>
        <v>0</v>
      </c>
      <c r="M54" s="56">
        <f ca="1">$J$54-EFEITO!$K$54*EFEITO!$Y$54</f>
        <v>0</v>
      </c>
      <c r="N54" s="56">
        <f>$K$54-EFEITO!$M$54*EFEITO!$Z$54</f>
        <v>0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5" t="s">
        <v>21</v>
      </c>
      <c r="B55" s="35" t="s">
        <v>38</v>
      </c>
      <c r="C55" s="35" t="s">
        <v>39</v>
      </c>
      <c r="D55" s="35" t="s">
        <v>49</v>
      </c>
      <c r="E55" s="35" t="s">
        <v>25</v>
      </c>
      <c r="F55" s="35" t="s">
        <v>50</v>
      </c>
      <c r="G55" s="35" t="s">
        <v>25</v>
      </c>
      <c r="H55" s="35" t="s">
        <v>25</v>
      </c>
      <c r="I55" s="55">
        <v>44593</v>
      </c>
      <c r="J55" s="56">
        <f ca="1">EFEITO!$J$55*EFEITO!$Y$55</f>
        <v>67640.105744989516</v>
      </c>
      <c r="K55" s="56">
        <f>EFEITO!$L$55*EFEITO!$Z$55</f>
        <v>0</v>
      </c>
      <c r="L55" s="56">
        <f>EFEITO!$N$55*EFEITO!$AA$55</f>
        <v>0</v>
      </c>
      <c r="M55" s="56">
        <f ca="1">$J$55-EFEITO!$K$55*EFEITO!$Y$55</f>
        <v>33627.652620906309</v>
      </c>
      <c r="N55" s="56">
        <f>$K$55-EFEITO!$M$55*EFEITO!$Z$55</f>
        <v>0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5" t="s">
        <v>21</v>
      </c>
      <c r="B56" s="35" t="s">
        <v>38</v>
      </c>
      <c r="C56" s="35" t="s">
        <v>39</v>
      </c>
      <c r="D56" s="35" t="s">
        <v>49</v>
      </c>
      <c r="E56" s="35" t="s">
        <v>25</v>
      </c>
      <c r="F56" s="35" t="s">
        <v>50</v>
      </c>
      <c r="G56" s="35" t="s">
        <v>25</v>
      </c>
      <c r="H56" s="35" t="s">
        <v>25</v>
      </c>
      <c r="I56" s="55">
        <v>44621</v>
      </c>
      <c r="J56" s="56">
        <f ca="1">EFEITO!$J$56*EFEITO!$Y$56</f>
        <v>67640.105744989516</v>
      </c>
      <c r="K56" s="56">
        <f>EFEITO!$L$56*EFEITO!$Z$56</f>
        <v>0</v>
      </c>
      <c r="L56" s="56">
        <f>EFEITO!$N$56*EFEITO!$AA$56</f>
        <v>0</v>
      </c>
      <c r="M56" s="56">
        <f ca="1">$J$56-EFEITO!$K$56*EFEITO!$Y$56</f>
        <v>33676.194542794197</v>
      </c>
      <c r="N56" s="56">
        <f>$K$56-EFEITO!$M$56*EFEITO!$Z$56</f>
        <v>0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5" t="s">
        <v>21</v>
      </c>
      <c r="B57" s="35" t="s">
        <v>38</v>
      </c>
      <c r="C57" s="35" t="s">
        <v>39</v>
      </c>
      <c r="D57" s="35" t="s">
        <v>49</v>
      </c>
      <c r="E57" s="35" t="s">
        <v>25</v>
      </c>
      <c r="F57" s="35" t="s">
        <v>50</v>
      </c>
      <c r="G57" s="35" t="s">
        <v>25</v>
      </c>
      <c r="H57" s="35" t="s">
        <v>25</v>
      </c>
      <c r="I57" s="55">
        <v>44652</v>
      </c>
      <c r="J57" s="56">
        <f ca="1">EFEITO!$J$57*EFEITO!$Y$57</f>
        <v>67640.105744989516</v>
      </c>
      <c r="K57" s="56">
        <f>EFEITO!$L$57*EFEITO!$Z$57</f>
        <v>0</v>
      </c>
      <c r="L57" s="56">
        <f>EFEITO!$N$57*EFEITO!$AA$57</f>
        <v>0</v>
      </c>
      <c r="M57" s="56">
        <f ca="1">$J$57-EFEITO!$K$57*EFEITO!$Y$57</f>
        <v>33740.896362345622</v>
      </c>
      <c r="N57" s="56">
        <f>$K$57-EFEITO!$M$57*EFEITO!$Z$57</f>
        <v>0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5" t="s">
        <v>21</v>
      </c>
      <c r="B58" s="35" t="s">
        <v>38</v>
      </c>
      <c r="C58" s="35" t="s">
        <v>39</v>
      </c>
      <c r="D58" s="35" t="s">
        <v>49</v>
      </c>
      <c r="E58" s="35" t="s">
        <v>25</v>
      </c>
      <c r="F58" s="35" t="s">
        <v>50</v>
      </c>
      <c r="G58" s="35" t="s">
        <v>25</v>
      </c>
      <c r="H58" s="35" t="s">
        <v>25</v>
      </c>
      <c r="I58" s="55">
        <v>44682</v>
      </c>
      <c r="J58" s="56">
        <f ca="1">EFEITO!$J$58*EFEITO!$Y$58</f>
        <v>67640.105744989516</v>
      </c>
      <c r="K58" s="56">
        <f>EFEITO!$L$58*EFEITO!$Z$58</f>
        <v>0</v>
      </c>
      <c r="L58" s="56">
        <f>EFEITO!$N$58*EFEITO!$AA$58</f>
        <v>0</v>
      </c>
      <c r="M58" s="56">
        <f ca="1">$J$58-EFEITO!$K$58*EFEITO!$Y$58</f>
        <v>33793.341794736065</v>
      </c>
      <c r="N58" s="56">
        <f>$K$58-EFEITO!$M$58*EFEITO!$Z$58</f>
        <v>0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5" t="s">
        <v>21</v>
      </c>
      <c r="B59" s="35" t="s">
        <v>38</v>
      </c>
      <c r="C59" s="35" t="s">
        <v>39</v>
      </c>
      <c r="D59" s="35" t="s">
        <v>49</v>
      </c>
      <c r="E59" s="35" t="s">
        <v>25</v>
      </c>
      <c r="F59" s="35" t="s">
        <v>50</v>
      </c>
      <c r="G59" s="35" t="s">
        <v>25</v>
      </c>
      <c r="H59" s="35" t="s">
        <v>25</v>
      </c>
      <c r="I59" s="55">
        <v>44713</v>
      </c>
      <c r="J59" s="56">
        <f ca="1">EFEITO!$J$59*EFEITO!$Y$59</f>
        <v>67640.105744989516</v>
      </c>
      <c r="K59" s="56">
        <f>EFEITO!$L$59*EFEITO!$Z$59</f>
        <v>0</v>
      </c>
      <c r="L59" s="56">
        <f>EFEITO!$N$59*EFEITO!$AA$59</f>
        <v>0</v>
      </c>
      <c r="M59" s="56">
        <f ca="1">$J$59-EFEITO!$K$59*EFEITO!$Y$59</f>
        <v>33803.228072591752</v>
      </c>
      <c r="N59" s="56">
        <f>$K$59-EFEITO!$M$59*EFEITO!$Z$59</f>
        <v>0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5" t="s">
        <v>21</v>
      </c>
      <c r="B60" s="35" t="s">
        <v>38</v>
      </c>
      <c r="C60" s="35" t="s">
        <v>39</v>
      </c>
      <c r="D60" s="35" t="s">
        <v>49</v>
      </c>
      <c r="E60" s="35" t="s">
        <v>25</v>
      </c>
      <c r="F60" s="35" t="s">
        <v>50</v>
      </c>
      <c r="G60" s="35" t="s">
        <v>25</v>
      </c>
      <c r="H60" s="35" t="s">
        <v>25</v>
      </c>
      <c r="I60" s="55">
        <v>44743</v>
      </c>
      <c r="J60" s="56">
        <f ca="1">EFEITO!$J$60*EFEITO!$Y$60</f>
        <v>67640.105744989516</v>
      </c>
      <c r="K60" s="56">
        <f>EFEITO!$L$60*EFEITO!$Z$60</f>
        <v>0</v>
      </c>
      <c r="L60" s="56">
        <f>EFEITO!$N$60*EFEITO!$AA$60</f>
        <v>0</v>
      </c>
      <c r="M60" s="56">
        <f ca="1">$J$60-EFEITO!$K$60*EFEITO!$Y$60</f>
        <v>33820.052872494758</v>
      </c>
      <c r="N60" s="56">
        <f>$K$60-EFEITO!$M$60*EFEITO!$Z$60</f>
        <v>0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5" t="s">
        <v>21</v>
      </c>
      <c r="B61" s="35" t="s">
        <v>38</v>
      </c>
      <c r="C61" s="35" t="s">
        <v>39</v>
      </c>
      <c r="D61" s="35" t="s">
        <v>49</v>
      </c>
      <c r="E61" s="35" t="s">
        <v>25</v>
      </c>
      <c r="F61" s="35" t="s">
        <v>50</v>
      </c>
      <c r="G61" s="35" t="s">
        <v>25</v>
      </c>
      <c r="H61" s="35" t="s">
        <v>25</v>
      </c>
      <c r="I61" s="55">
        <v>44774</v>
      </c>
      <c r="J61" s="56">
        <f ca="1">EFEITO!$J$61*EFEITO!$Y$61</f>
        <v>67640.105744989516</v>
      </c>
      <c r="K61" s="56">
        <f>EFEITO!$L$61*EFEITO!$Z$61</f>
        <v>0</v>
      </c>
      <c r="L61" s="56">
        <f>EFEITO!$N$61*EFEITO!$AA$61</f>
        <v>0</v>
      </c>
      <c r="M61" s="56">
        <f ca="1">$J$61-EFEITO!$K$61*EFEITO!$Y$61</f>
        <v>33820.052872494758</v>
      </c>
      <c r="N61" s="56">
        <f>$K$61-EFEITO!$M$61*EFEITO!$Z$61</f>
        <v>0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5" t="s">
        <v>21</v>
      </c>
      <c r="B62" s="35" t="s">
        <v>38</v>
      </c>
      <c r="C62" s="35" t="s">
        <v>39</v>
      </c>
      <c r="D62" s="35" t="s">
        <v>49</v>
      </c>
      <c r="E62" s="35" t="s">
        <v>25</v>
      </c>
      <c r="F62" s="35" t="s">
        <v>50</v>
      </c>
      <c r="G62" s="35" t="s">
        <v>25</v>
      </c>
      <c r="H62" s="35" t="s">
        <v>40</v>
      </c>
      <c r="I62" s="55">
        <v>44440</v>
      </c>
      <c r="J62" s="56">
        <f>EFEITO!$J$62*EFEITO!$Y$62</f>
        <v>0</v>
      </c>
      <c r="K62" s="56">
        <f ca="1">EFEITO!$L$62*EFEITO!$Z$62</f>
        <v>218129.55197036589</v>
      </c>
      <c r="L62" s="56">
        <f>EFEITO!$N$62*EFEITO!$AA$62</f>
        <v>0</v>
      </c>
      <c r="M62" s="56">
        <f>$J$62-EFEITO!$K$62*EFEITO!$Y$62</f>
        <v>0</v>
      </c>
      <c r="N62" s="56">
        <f ca="1">$K$62-EFEITO!$M$62*EFEITO!$Z$62</f>
        <v>0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5" t="s">
        <v>21</v>
      </c>
      <c r="B63" s="35" t="s">
        <v>38</v>
      </c>
      <c r="C63" s="35" t="s">
        <v>39</v>
      </c>
      <c r="D63" s="35" t="s">
        <v>49</v>
      </c>
      <c r="E63" s="35" t="s">
        <v>25</v>
      </c>
      <c r="F63" s="35" t="s">
        <v>50</v>
      </c>
      <c r="G63" s="35" t="s">
        <v>25</v>
      </c>
      <c r="H63" s="35" t="s">
        <v>40</v>
      </c>
      <c r="I63" s="55">
        <v>44470</v>
      </c>
      <c r="J63" s="56">
        <f>EFEITO!$J$63*EFEITO!$Y$63</f>
        <v>0</v>
      </c>
      <c r="K63" s="56">
        <f ca="1">EFEITO!$L$63*EFEITO!$Z$63</f>
        <v>182700.36598513214</v>
      </c>
      <c r="L63" s="56">
        <f>EFEITO!$N$63*EFEITO!$AA$63</f>
        <v>0</v>
      </c>
      <c r="M63" s="56">
        <f>$J$63-EFEITO!$K$63*EFEITO!$Y$63</f>
        <v>0</v>
      </c>
      <c r="N63" s="56">
        <f ca="1">$K$63-EFEITO!$M$63*EFEITO!$Z$63</f>
        <v>0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5" t="s">
        <v>21</v>
      </c>
      <c r="B64" s="35" t="s">
        <v>38</v>
      </c>
      <c r="C64" s="35" t="s">
        <v>39</v>
      </c>
      <c r="D64" s="35" t="s">
        <v>49</v>
      </c>
      <c r="E64" s="35" t="s">
        <v>25</v>
      </c>
      <c r="F64" s="35" t="s">
        <v>50</v>
      </c>
      <c r="G64" s="35" t="s">
        <v>25</v>
      </c>
      <c r="H64" s="35" t="s">
        <v>40</v>
      </c>
      <c r="I64" s="55">
        <v>44501</v>
      </c>
      <c r="J64" s="56">
        <f>EFEITO!$J$64*EFEITO!$Y$64</f>
        <v>0</v>
      </c>
      <c r="K64" s="56">
        <f ca="1">EFEITO!$L$64*EFEITO!$Z$64</f>
        <v>203913.74644046143</v>
      </c>
      <c r="L64" s="56">
        <f>EFEITO!$N$64*EFEITO!$AA$64</f>
        <v>0</v>
      </c>
      <c r="M64" s="56">
        <f>$J$64-EFEITO!$K$64*EFEITO!$Y$64</f>
        <v>0</v>
      </c>
      <c r="N64" s="56">
        <f ca="1">$K$64-EFEITO!$M$64*EFEITO!$Z$64</f>
        <v>0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5" t="s">
        <v>21</v>
      </c>
      <c r="B65" s="35" t="s">
        <v>38</v>
      </c>
      <c r="C65" s="35" t="s">
        <v>39</v>
      </c>
      <c r="D65" s="35" t="s">
        <v>49</v>
      </c>
      <c r="E65" s="35" t="s">
        <v>25</v>
      </c>
      <c r="F65" s="35" t="s">
        <v>50</v>
      </c>
      <c r="G65" s="35" t="s">
        <v>25</v>
      </c>
      <c r="H65" s="35" t="s">
        <v>40</v>
      </c>
      <c r="I65" s="55">
        <v>44531</v>
      </c>
      <c r="J65" s="56">
        <f>EFEITO!$J$65*EFEITO!$Y$65</f>
        <v>0</v>
      </c>
      <c r="K65" s="56">
        <f ca="1">EFEITO!$L$65*EFEITO!$Z$65</f>
        <v>235074.38635846428</v>
      </c>
      <c r="L65" s="56">
        <f>EFEITO!$N$65*EFEITO!$AA$65</f>
        <v>0</v>
      </c>
      <c r="M65" s="56">
        <f>$J$65-EFEITO!$K$65*EFEITO!$Y$65</f>
        <v>0</v>
      </c>
      <c r="N65" s="56">
        <f ca="1">$K$65-EFEITO!$M$65*EFEITO!$Z$65</f>
        <v>0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5" t="s">
        <v>21</v>
      </c>
      <c r="B66" s="35" t="s">
        <v>38</v>
      </c>
      <c r="C66" s="35" t="s">
        <v>39</v>
      </c>
      <c r="D66" s="35" t="s">
        <v>49</v>
      </c>
      <c r="E66" s="35" t="s">
        <v>25</v>
      </c>
      <c r="F66" s="35" t="s">
        <v>50</v>
      </c>
      <c r="G66" s="35" t="s">
        <v>25</v>
      </c>
      <c r="H66" s="35" t="s">
        <v>40</v>
      </c>
      <c r="I66" s="55">
        <v>44562</v>
      </c>
      <c r="J66" s="56">
        <f>EFEITO!$J$66*EFEITO!$Y$66</f>
        <v>0</v>
      </c>
      <c r="K66" s="56">
        <f ca="1">EFEITO!$L$66*EFEITO!$Z$66</f>
        <v>211507.34532655132</v>
      </c>
      <c r="L66" s="56">
        <f>EFEITO!$N$66*EFEITO!$AA$66</f>
        <v>0</v>
      </c>
      <c r="M66" s="56">
        <f>$J$66-EFEITO!$K$66*EFEITO!$Y$66</f>
        <v>0</v>
      </c>
      <c r="N66" s="56">
        <f ca="1">$K$66-EFEITO!$M$66*EFEITO!$Z$66</f>
        <v>0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5" t="s">
        <v>21</v>
      </c>
      <c r="B67" s="35" t="s">
        <v>38</v>
      </c>
      <c r="C67" s="35" t="s">
        <v>39</v>
      </c>
      <c r="D67" s="35" t="s">
        <v>49</v>
      </c>
      <c r="E67" s="35" t="s">
        <v>25</v>
      </c>
      <c r="F67" s="35" t="s">
        <v>50</v>
      </c>
      <c r="G67" s="35" t="s">
        <v>25</v>
      </c>
      <c r="H67" s="35" t="s">
        <v>40</v>
      </c>
      <c r="I67" s="55">
        <v>44593</v>
      </c>
      <c r="J67" s="56">
        <f>EFEITO!$J$67*EFEITO!$Y$67</f>
        <v>0</v>
      </c>
      <c r="K67" s="56">
        <f ca="1">EFEITO!$L$67*EFEITO!$Z$67</f>
        <v>198871.63736045253</v>
      </c>
      <c r="L67" s="56">
        <f>EFEITO!$N$67*EFEITO!$AA$67</f>
        <v>0</v>
      </c>
      <c r="M67" s="56">
        <f>$J$67-EFEITO!$K$67*EFEITO!$Y$67</f>
        <v>0</v>
      </c>
      <c r="N67" s="56">
        <f ca="1">$K$67-EFEITO!$M$67*EFEITO!$Z$67</f>
        <v>95002.22013738894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5" t="s">
        <v>21</v>
      </c>
      <c r="B68" s="35" t="s">
        <v>38</v>
      </c>
      <c r="C68" s="35" t="s">
        <v>39</v>
      </c>
      <c r="D68" s="35" t="s">
        <v>49</v>
      </c>
      <c r="E68" s="35" t="s">
        <v>25</v>
      </c>
      <c r="F68" s="35" t="s">
        <v>50</v>
      </c>
      <c r="G68" s="35" t="s">
        <v>25</v>
      </c>
      <c r="H68" s="35" t="s">
        <v>40</v>
      </c>
      <c r="I68" s="55">
        <v>44621</v>
      </c>
      <c r="J68" s="56">
        <f>EFEITO!$J$68*EFEITO!$Y$68</f>
        <v>0</v>
      </c>
      <c r="K68" s="56">
        <f ca="1">EFEITO!$L$68*EFEITO!$Z$68</f>
        <v>230476.12490873781</v>
      </c>
      <c r="L68" s="56">
        <f>EFEITO!$N$68*EFEITO!$AA$68</f>
        <v>0</v>
      </c>
      <c r="M68" s="56">
        <f>$J$68-EFEITO!$K$68*EFEITO!$Y$68</f>
        <v>0</v>
      </c>
      <c r="N68" s="56">
        <f ca="1">$K$68-EFEITO!$M$68*EFEITO!$Z$68</f>
        <v>110258.8124613768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5" t="s">
        <v>21</v>
      </c>
      <c r="B69" s="35" t="s">
        <v>38</v>
      </c>
      <c r="C69" s="35" t="s">
        <v>39</v>
      </c>
      <c r="D69" s="35" t="s">
        <v>49</v>
      </c>
      <c r="E69" s="35" t="s">
        <v>25</v>
      </c>
      <c r="F69" s="35" t="s">
        <v>50</v>
      </c>
      <c r="G69" s="35" t="s">
        <v>25</v>
      </c>
      <c r="H69" s="35" t="s">
        <v>40</v>
      </c>
      <c r="I69" s="55">
        <v>44652</v>
      </c>
      <c r="J69" s="56">
        <f>EFEITO!$J$69*EFEITO!$Y$69</f>
        <v>0</v>
      </c>
      <c r="K69" s="56">
        <f ca="1">EFEITO!$L$69*EFEITO!$Z$69</f>
        <v>216592.57103350197</v>
      </c>
      <c r="L69" s="56">
        <f>EFEITO!$N$69*EFEITO!$AA$69</f>
        <v>0</v>
      </c>
      <c r="M69" s="56">
        <f>$J$69-EFEITO!$K$69*EFEITO!$Y$69</f>
        <v>0</v>
      </c>
      <c r="N69" s="56">
        <f ca="1">$K$69-EFEITO!$M$69*EFEITO!$Z$69</f>
        <v>103816.05518936874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5" t="s">
        <v>21</v>
      </c>
      <c r="B70" s="35" t="s">
        <v>38</v>
      </c>
      <c r="C70" s="35" t="s">
        <v>39</v>
      </c>
      <c r="D70" s="35" t="s">
        <v>49</v>
      </c>
      <c r="E70" s="35" t="s">
        <v>25</v>
      </c>
      <c r="F70" s="35" t="s">
        <v>50</v>
      </c>
      <c r="G70" s="35" t="s">
        <v>25</v>
      </c>
      <c r="H70" s="35" t="s">
        <v>40</v>
      </c>
      <c r="I70" s="55">
        <v>44682</v>
      </c>
      <c r="J70" s="56">
        <f>EFEITO!$J$70*EFEITO!$Y$70</f>
        <v>0</v>
      </c>
      <c r="K70" s="56">
        <f ca="1">EFEITO!$L$70*EFEITO!$Z$70</f>
        <v>217903.82374696509</v>
      </c>
      <c r="L70" s="56">
        <f>EFEITO!$N$70*EFEITO!$AA$70</f>
        <v>0</v>
      </c>
      <c r="M70" s="56">
        <f>$J$70-EFEITO!$K$70*EFEITO!$Y$70</f>
        <v>0</v>
      </c>
      <c r="N70" s="56">
        <f ca="1">$K$70-EFEITO!$M$70*EFEITO!$Z$70</f>
        <v>104607.009863727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5" t="s">
        <v>21</v>
      </c>
      <c r="B71" s="35" t="s">
        <v>38</v>
      </c>
      <c r="C71" s="35" t="s">
        <v>39</v>
      </c>
      <c r="D71" s="35" t="s">
        <v>49</v>
      </c>
      <c r="E71" s="35" t="s">
        <v>25</v>
      </c>
      <c r="F71" s="35" t="s">
        <v>50</v>
      </c>
      <c r="G71" s="35" t="s">
        <v>25</v>
      </c>
      <c r="H71" s="35" t="s">
        <v>40</v>
      </c>
      <c r="I71" s="55">
        <v>44713</v>
      </c>
      <c r="J71" s="56">
        <f>EFEITO!$J$71*EFEITO!$Y$71</f>
        <v>0</v>
      </c>
      <c r="K71" s="56">
        <f ca="1">EFEITO!$L$71*EFEITO!$Z$71</f>
        <v>219397.68805688724</v>
      </c>
      <c r="L71" s="56">
        <f>EFEITO!$N$71*EFEITO!$AA$71</f>
        <v>0</v>
      </c>
      <c r="M71" s="56">
        <f>$J$71-EFEITO!$K$71*EFEITO!$Y$71</f>
        <v>0</v>
      </c>
      <c r="N71" s="56">
        <f ca="1">$K$71-EFEITO!$M$71*EFEITO!$Z$71</f>
        <v>105354.85975796936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5" t="s">
        <v>21</v>
      </c>
      <c r="B72" s="35" t="s">
        <v>38</v>
      </c>
      <c r="C72" s="35" t="s">
        <v>39</v>
      </c>
      <c r="D72" s="35" t="s">
        <v>49</v>
      </c>
      <c r="E72" s="35" t="s">
        <v>25</v>
      </c>
      <c r="F72" s="35" t="s">
        <v>50</v>
      </c>
      <c r="G72" s="35" t="s">
        <v>25</v>
      </c>
      <c r="H72" s="35" t="s">
        <v>40</v>
      </c>
      <c r="I72" s="55">
        <v>44743</v>
      </c>
      <c r="J72" s="56">
        <f>EFEITO!$J$72*EFEITO!$Y$72</f>
        <v>0</v>
      </c>
      <c r="K72" s="56">
        <f ca="1">EFEITO!$L$72*EFEITO!$Z$72</f>
        <v>227419.91694022136</v>
      </c>
      <c r="L72" s="56">
        <f>EFEITO!$N$72*EFEITO!$AA$72</f>
        <v>0</v>
      </c>
      <c r="M72" s="56">
        <f>$J$72-EFEITO!$K$72*EFEITO!$Y$72</f>
        <v>0</v>
      </c>
      <c r="N72" s="56">
        <f ca="1">$K$72-EFEITO!$M$72*EFEITO!$Z$72</f>
        <v>113697.63003641335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5" t="s">
        <v>21</v>
      </c>
      <c r="B73" s="35" t="s">
        <v>38</v>
      </c>
      <c r="C73" s="35" t="s">
        <v>39</v>
      </c>
      <c r="D73" s="35" t="s">
        <v>49</v>
      </c>
      <c r="E73" s="35" t="s">
        <v>25</v>
      </c>
      <c r="F73" s="35" t="s">
        <v>50</v>
      </c>
      <c r="G73" s="35" t="s">
        <v>25</v>
      </c>
      <c r="H73" s="35" t="s">
        <v>40</v>
      </c>
      <c r="I73" s="55">
        <v>44774</v>
      </c>
      <c r="J73" s="56">
        <f>EFEITO!$J$73*EFEITO!$Y$73</f>
        <v>0</v>
      </c>
      <c r="K73" s="56">
        <f ca="1">EFEITO!$L$73*EFEITO!$Z$73</f>
        <v>234308.43216220537</v>
      </c>
      <c r="L73" s="56">
        <f>EFEITO!$N$73*EFEITO!$AA$73</f>
        <v>0</v>
      </c>
      <c r="M73" s="56">
        <f>$J$73-EFEITO!$K$73*EFEITO!$Y$73</f>
        <v>0</v>
      </c>
      <c r="N73" s="56">
        <f ca="1">$K$73-EFEITO!$M$73*EFEITO!$Z$73</f>
        <v>112571.00724911928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5" t="s">
        <v>21</v>
      </c>
      <c r="B74" s="35" t="s">
        <v>38</v>
      </c>
      <c r="C74" s="35" t="s">
        <v>39</v>
      </c>
      <c r="D74" s="35" t="s">
        <v>47</v>
      </c>
      <c r="E74" s="35" t="s">
        <v>48</v>
      </c>
      <c r="F74" s="35" t="s">
        <v>25</v>
      </c>
      <c r="G74" s="35" t="s">
        <v>25</v>
      </c>
      <c r="H74" s="35" t="s">
        <v>34</v>
      </c>
      <c r="I74" s="55">
        <v>44440</v>
      </c>
      <c r="J74" s="56">
        <f>EFEITO!$J$74*EFEITO!$Y$13</f>
        <v>0</v>
      </c>
      <c r="K74" s="56">
        <f ca="1">EFEITO!$L$74*EFEITO!$Z$13</f>
        <v>27245.018511716986</v>
      </c>
      <c r="L74" s="56">
        <f>EFEITO!$N$74*EFEITO!$AA$13</f>
        <v>57943.553178215305</v>
      </c>
      <c r="M74" s="56">
        <f>$J$74-EFEITO!$K$74*EFEITO!$Y$74</f>
        <v>0</v>
      </c>
      <c r="N74" s="56">
        <f ca="1">$K$74-EFEITO!$M$74*EFEITO!$Z$74</f>
        <v>0</v>
      </c>
      <c r="O74" s="56">
        <f>$L$74-EFEITO!$O$74*EFEITO!$AA$74</f>
        <v>1738.3065953464611</v>
      </c>
      <c r="P74" s="39"/>
      <c r="Q74" s="39"/>
      <c r="R74" s="39"/>
      <c r="S74" s="39"/>
      <c r="T74" s="39"/>
      <c r="U74" s="39"/>
      <c r="V74" s="39"/>
      <c r="W74" s="3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5" t="s">
        <v>21</v>
      </c>
      <c r="B75" s="35" t="s">
        <v>38</v>
      </c>
      <c r="C75" s="35" t="s">
        <v>39</v>
      </c>
      <c r="D75" s="35" t="s">
        <v>47</v>
      </c>
      <c r="E75" s="35" t="s">
        <v>48</v>
      </c>
      <c r="F75" s="35" t="s">
        <v>25</v>
      </c>
      <c r="G75" s="35" t="s">
        <v>25</v>
      </c>
      <c r="H75" s="35" t="s">
        <v>34</v>
      </c>
      <c r="I75" s="55">
        <v>44470</v>
      </c>
      <c r="J75" s="56">
        <f>EFEITO!$J$75*EFEITO!$Y$13</f>
        <v>0</v>
      </c>
      <c r="K75" s="56">
        <f ca="1">EFEITO!$L$75*EFEITO!$Z$13</f>
        <v>28090.460160138988</v>
      </c>
      <c r="L75" s="56">
        <f>EFEITO!$N$75*EFEITO!$AA$13</f>
        <v>59741.602722331067</v>
      </c>
      <c r="M75" s="56">
        <f>$J$75-EFEITO!$K$75*EFEITO!$Y$75</f>
        <v>0</v>
      </c>
      <c r="N75" s="56">
        <f ca="1">$K$75-EFEITO!$M$75*EFEITO!$Z$75</f>
        <v>0</v>
      </c>
      <c r="O75" s="56">
        <f>$L$75-EFEITO!$O$75*EFEITO!$AA$75</f>
        <v>1792.248081669939</v>
      </c>
      <c r="P75" s="39"/>
      <c r="Q75" s="39"/>
      <c r="R75" s="39"/>
      <c r="S75" s="39"/>
      <c r="T75" s="39"/>
      <c r="U75" s="39"/>
      <c r="V75" s="39"/>
      <c r="W75" s="3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5" t="s">
        <v>21</v>
      </c>
      <c r="B76" s="35" t="s">
        <v>38</v>
      </c>
      <c r="C76" s="35" t="s">
        <v>39</v>
      </c>
      <c r="D76" s="35" t="s">
        <v>47</v>
      </c>
      <c r="E76" s="35" t="s">
        <v>48</v>
      </c>
      <c r="F76" s="35" t="s">
        <v>25</v>
      </c>
      <c r="G76" s="35" t="s">
        <v>25</v>
      </c>
      <c r="H76" s="35" t="s">
        <v>34</v>
      </c>
      <c r="I76" s="55">
        <v>44501</v>
      </c>
      <c r="J76" s="56">
        <f>EFEITO!$J$76*EFEITO!$Y$13</f>
        <v>0</v>
      </c>
      <c r="K76" s="56">
        <f ca="1">EFEITO!$L$76*EFEITO!$Z$13</f>
        <v>27114.892143311867</v>
      </c>
      <c r="L76" s="56">
        <f>EFEITO!$N$76*EFEITO!$AA$13</f>
        <v>57666.805920938619</v>
      </c>
      <c r="M76" s="56">
        <f>$J$76-EFEITO!$K$76*EFEITO!$Y$76</f>
        <v>0</v>
      </c>
      <c r="N76" s="56">
        <f ca="1">$K$76-EFEITO!$M$76*EFEITO!$Z$76</f>
        <v>0</v>
      </c>
      <c r="O76" s="56">
        <f>$L$76-EFEITO!$O$76*EFEITO!$AA$76</f>
        <v>1730.0041776281651</v>
      </c>
      <c r="P76" s="39"/>
      <c r="Q76" s="39"/>
      <c r="R76" s="39"/>
      <c r="S76" s="39"/>
      <c r="T76" s="39"/>
      <c r="U76" s="39"/>
      <c r="V76" s="39"/>
      <c r="W76" s="3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5" t="s">
        <v>21</v>
      </c>
      <c r="B77" s="35" t="s">
        <v>38</v>
      </c>
      <c r="C77" s="35" t="s">
        <v>39</v>
      </c>
      <c r="D77" s="35" t="s">
        <v>47</v>
      </c>
      <c r="E77" s="35" t="s">
        <v>48</v>
      </c>
      <c r="F77" s="35" t="s">
        <v>25</v>
      </c>
      <c r="G77" s="35" t="s">
        <v>25</v>
      </c>
      <c r="H77" s="35" t="s">
        <v>34</v>
      </c>
      <c r="I77" s="55">
        <v>44531</v>
      </c>
      <c r="J77" s="56">
        <f>EFEITO!$J$77*EFEITO!$Y$13</f>
        <v>0</v>
      </c>
      <c r="K77" s="56">
        <f ca="1">EFEITO!$L$77*EFEITO!$Z$13</f>
        <v>27873.751655557695</v>
      </c>
      <c r="L77" s="56">
        <f>EFEITO!$N$77*EFEITO!$AA$13</f>
        <v>59280.716239395573</v>
      </c>
      <c r="M77" s="56">
        <f>$J$77-EFEITO!$K$77*EFEITO!$Y$77</f>
        <v>0</v>
      </c>
      <c r="N77" s="56">
        <f ca="1">$K$77-EFEITO!$M$77*EFEITO!$Z$77</f>
        <v>0</v>
      </c>
      <c r="O77" s="56">
        <f>$L$77-EFEITO!$O$77*EFEITO!$AA$77</f>
        <v>1778.4214871818695</v>
      </c>
      <c r="P77" s="39"/>
      <c r="Q77" s="39"/>
      <c r="R77" s="39"/>
      <c r="S77" s="39"/>
      <c r="T77" s="39"/>
      <c r="U77" s="39"/>
      <c r="V77" s="39"/>
      <c r="W77" s="3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5" t="s">
        <v>21</v>
      </c>
      <c r="B78" s="35" t="s">
        <v>38</v>
      </c>
      <c r="C78" s="35" t="s">
        <v>39</v>
      </c>
      <c r="D78" s="35" t="s">
        <v>47</v>
      </c>
      <c r="E78" s="35" t="s">
        <v>48</v>
      </c>
      <c r="F78" s="35" t="s">
        <v>25</v>
      </c>
      <c r="G78" s="35" t="s">
        <v>25</v>
      </c>
      <c r="H78" s="35" t="s">
        <v>34</v>
      </c>
      <c r="I78" s="55">
        <v>44562</v>
      </c>
      <c r="J78" s="56">
        <f>EFEITO!$J$78*EFEITO!$Y$13</f>
        <v>0</v>
      </c>
      <c r="K78" s="56">
        <f ca="1">EFEITO!$L$78*EFEITO!$Z$13</f>
        <v>25422.996189904403</v>
      </c>
      <c r="L78" s="56">
        <f>EFEITO!$N$78*EFEITO!$AA$13</f>
        <v>54068.5531575532</v>
      </c>
      <c r="M78" s="56">
        <f>$J$78-EFEITO!$K$78*EFEITO!$Y$78</f>
        <v>0</v>
      </c>
      <c r="N78" s="56">
        <f ca="1">$K$78-EFEITO!$M$78*EFEITO!$Z$78</f>
        <v>0</v>
      </c>
      <c r="O78" s="56">
        <f>$L$78-EFEITO!$O$78*EFEITO!$AA$78</f>
        <v>1622.0565947266077</v>
      </c>
      <c r="P78" s="39"/>
      <c r="Q78" s="39"/>
      <c r="R78" s="39"/>
      <c r="S78" s="39"/>
      <c r="T78" s="39"/>
      <c r="U78" s="39"/>
      <c r="V78" s="39"/>
      <c r="W78" s="3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5" t="s">
        <v>21</v>
      </c>
      <c r="B79" s="35" t="s">
        <v>38</v>
      </c>
      <c r="C79" s="35" t="s">
        <v>39</v>
      </c>
      <c r="D79" s="35" t="s">
        <v>47</v>
      </c>
      <c r="E79" s="35" t="s">
        <v>48</v>
      </c>
      <c r="F79" s="35" t="s">
        <v>25</v>
      </c>
      <c r="G79" s="35" t="s">
        <v>25</v>
      </c>
      <c r="H79" s="35" t="s">
        <v>34</v>
      </c>
      <c r="I79" s="55">
        <v>44593</v>
      </c>
      <c r="J79" s="56">
        <f>EFEITO!$J$79*EFEITO!$Y$13</f>
        <v>0</v>
      </c>
      <c r="K79" s="56">
        <f ca="1">EFEITO!$L$79*EFEITO!$Z$13</f>
        <v>24486.035704559341</v>
      </c>
      <c r="L79" s="56">
        <f>EFEITO!$N$79*EFEITO!$AA$13</f>
        <v>52075.865221403343</v>
      </c>
      <c r="M79" s="56">
        <f>$J$79-EFEITO!$K$79*EFEITO!$Y$79</f>
        <v>0</v>
      </c>
      <c r="N79" s="56">
        <f ca="1">$K$79-EFEITO!$M$79*EFEITO!$Z$79</f>
        <v>0</v>
      </c>
      <c r="O79" s="56">
        <f>$L$79-EFEITO!$O$79*EFEITO!$AA$79</f>
        <v>1562.2759566421082</v>
      </c>
      <c r="P79" s="39"/>
      <c r="Q79" s="39"/>
      <c r="R79" s="39"/>
      <c r="S79" s="39"/>
      <c r="T79" s="39"/>
      <c r="U79" s="39"/>
      <c r="V79" s="39"/>
      <c r="W79" s="3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5" t="s">
        <v>21</v>
      </c>
      <c r="B80" s="35" t="s">
        <v>38</v>
      </c>
      <c r="C80" s="35" t="s">
        <v>39</v>
      </c>
      <c r="D80" s="35" t="s">
        <v>47</v>
      </c>
      <c r="E80" s="35" t="s">
        <v>48</v>
      </c>
      <c r="F80" s="35" t="s">
        <v>25</v>
      </c>
      <c r="G80" s="35" t="s">
        <v>25</v>
      </c>
      <c r="H80" s="35" t="s">
        <v>34</v>
      </c>
      <c r="I80" s="55">
        <v>44621</v>
      </c>
      <c r="J80" s="56">
        <f>EFEITO!$J$80*EFEITO!$Y$13</f>
        <v>0</v>
      </c>
      <c r="K80" s="56">
        <f ca="1">EFEITO!$L$80*EFEITO!$Z$13</f>
        <v>24095.403435203109</v>
      </c>
      <c r="L80" s="56">
        <f>EFEITO!$N$80*EFEITO!$AA$13</f>
        <v>51245.085030784801</v>
      </c>
      <c r="M80" s="56">
        <f>$J$80-EFEITO!$K$80*EFEITO!$Y$80</f>
        <v>0</v>
      </c>
      <c r="N80" s="56">
        <f ca="1">$K$80-EFEITO!$M$80*EFEITO!$Z$80</f>
        <v>0</v>
      </c>
      <c r="O80" s="56">
        <f>$L$80-EFEITO!$O$80*EFEITO!$AA$80</f>
        <v>1537.3525509235478</v>
      </c>
      <c r="P80" s="39"/>
      <c r="Q80" s="39"/>
      <c r="R80" s="39"/>
      <c r="S80" s="39"/>
      <c r="T80" s="39"/>
      <c r="U80" s="39"/>
      <c r="V80" s="39"/>
      <c r="W80" s="3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5" t="s">
        <v>21</v>
      </c>
      <c r="B81" s="35" t="s">
        <v>38</v>
      </c>
      <c r="C81" s="35" t="s">
        <v>39</v>
      </c>
      <c r="D81" s="35" t="s">
        <v>47</v>
      </c>
      <c r="E81" s="35" t="s">
        <v>48</v>
      </c>
      <c r="F81" s="35" t="s">
        <v>25</v>
      </c>
      <c r="G81" s="35" t="s">
        <v>25</v>
      </c>
      <c r="H81" s="35" t="s">
        <v>34</v>
      </c>
      <c r="I81" s="55">
        <v>44652</v>
      </c>
      <c r="J81" s="56">
        <f>EFEITO!$J$81*EFEITO!$Y$13</f>
        <v>0</v>
      </c>
      <c r="K81" s="56">
        <f ca="1">EFEITO!$L$81*EFEITO!$Z$13</f>
        <v>23708.442045889427</v>
      </c>
      <c r="L81" s="56">
        <f>EFEITO!$N$81*EFEITO!$AA$13</f>
        <v>50422.111912599161</v>
      </c>
      <c r="M81" s="56">
        <f>$J$81-EFEITO!$K$81*EFEITO!$Y$81</f>
        <v>0</v>
      </c>
      <c r="N81" s="56">
        <f ca="1">$K$81-EFEITO!$M$81*EFEITO!$Z$81</f>
        <v>0</v>
      </c>
      <c r="O81" s="56">
        <f>$L$81-EFEITO!$O$81*EFEITO!$AA$81</f>
        <v>1512.6633573779836</v>
      </c>
      <c r="P81" s="39"/>
      <c r="Q81" s="39"/>
      <c r="R81" s="39"/>
      <c r="S81" s="39"/>
      <c r="T81" s="39"/>
      <c r="U81" s="39"/>
      <c r="V81" s="39"/>
      <c r="W81" s="3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5" t="s">
        <v>21</v>
      </c>
      <c r="B82" s="35" t="s">
        <v>38</v>
      </c>
      <c r="C82" s="35" t="s">
        <v>39</v>
      </c>
      <c r="D82" s="35" t="s">
        <v>47</v>
      </c>
      <c r="E82" s="35" t="s">
        <v>48</v>
      </c>
      <c r="F82" s="35" t="s">
        <v>25</v>
      </c>
      <c r="G82" s="35" t="s">
        <v>25</v>
      </c>
      <c r="H82" s="35" t="s">
        <v>34</v>
      </c>
      <c r="I82" s="55">
        <v>44682</v>
      </c>
      <c r="J82" s="56">
        <f>EFEITO!$J$82*EFEITO!$Y$13</f>
        <v>0</v>
      </c>
      <c r="K82" s="56">
        <f ca="1">EFEITO!$L$82*EFEITO!$Z$13</f>
        <v>26092.235596283666</v>
      </c>
      <c r="L82" s="56">
        <f>EFEITO!$N$82*EFEITO!$AA$13</f>
        <v>55491.863224889625</v>
      </c>
      <c r="M82" s="56">
        <f>$J$82-EFEITO!$K$82*EFEITO!$Y$82</f>
        <v>0</v>
      </c>
      <c r="N82" s="56">
        <f ca="1">$K$82-EFEITO!$M$82*EFEITO!$Z$82</f>
        <v>0</v>
      </c>
      <c r="O82" s="56">
        <f>$L$82-EFEITO!$O$82*EFEITO!$AA$82</f>
        <v>1664.7558967466975</v>
      </c>
      <c r="P82" s="39"/>
      <c r="Q82" s="39"/>
      <c r="R82" s="39"/>
      <c r="S82" s="39"/>
      <c r="T82" s="39"/>
      <c r="U82" s="39"/>
      <c r="V82" s="39"/>
      <c r="W82" s="3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5" t="s">
        <v>21</v>
      </c>
      <c r="B83" s="35" t="s">
        <v>38</v>
      </c>
      <c r="C83" s="35" t="s">
        <v>39</v>
      </c>
      <c r="D83" s="35" t="s">
        <v>47</v>
      </c>
      <c r="E83" s="35" t="s">
        <v>48</v>
      </c>
      <c r="F83" s="35" t="s">
        <v>25</v>
      </c>
      <c r="G83" s="35" t="s">
        <v>25</v>
      </c>
      <c r="H83" s="35" t="s">
        <v>34</v>
      </c>
      <c r="I83" s="55">
        <v>44713</v>
      </c>
      <c r="J83" s="56">
        <f>EFEITO!$J$83*EFEITO!$Y$13</f>
        <v>0</v>
      </c>
      <c r="K83" s="56">
        <f ca="1">EFEITO!$L$83*EFEITO!$Z$13</f>
        <v>25095.022045412501</v>
      </c>
      <c r="L83" s="56">
        <f>EFEITO!$N$83*EFEITO!$AA$13</f>
        <v>53371.031617082474</v>
      </c>
      <c r="M83" s="56">
        <f>$J$83-EFEITO!$K$83*EFEITO!$Y$83</f>
        <v>0</v>
      </c>
      <c r="N83" s="56">
        <f ca="1">$K$83-EFEITO!$M$83*EFEITO!$Z$83</f>
        <v>0</v>
      </c>
      <c r="O83" s="56">
        <f>$L$83-EFEITO!$O$83*EFEITO!$AA$83</f>
        <v>1601.1309485124802</v>
      </c>
      <c r="P83" s="39"/>
      <c r="Q83" s="39"/>
      <c r="R83" s="39"/>
      <c r="S83" s="39"/>
      <c r="T83" s="39"/>
      <c r="U83" s="39"/>
      <c r="V83" s="39"/>
      <c r="W83" s="3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5" t="s">
        <v>21</v>
      </c>
      <c r="B84" s="35" t="s">
        <v>38</v>
      </c>
      <c r="C84" s="35" t="s">
        <v>39</v>
      </c>
      <c r="D84" s="35" t="s">
        <v>47</v>
      </c>
      <c r="E84" s="35" t="s">
        <v>48</v>
      </c>
      <c r="F84" s="35" t="s">
        <v>25</v>
      </c>
      <c r="G84" s="35" t="s">
        <v>25</v>
      </c>
      <c r="H84" s="35" t="s">
        <v>34</v>
      </c>
      <c r="I84" s="55">
        <v>44743</v>
      </c>
      <c r="J84" s="56">
        <f>EFEITO!$J$84*EFEITO!$Y$13</f>
        <v>0</v>
      </c>
      <c r="K84" s="56">
        <f ca="1">EFEITO!$L$84*EFEITO!$Z$13</f>
        <v>27319.448769131595</v>
      </c>
      <c r="L84" s="56">
        <f>EFEITO!$N$84*EFEITO!$AA$13</f>
        <v>58101.848302027269</v>
      </c>
      <c r="M84" s="56">
        <f>$J$84-EFEITO!$K$84*EFEITO!$Y$84</f>
        <v>0</v>
      </c>
      <c r="N84" s="56">
        <f ca="1">$K$84-EFEITO!$M$84*EFEITO!$Z$84</f>
        <v>0</v>
      </c>
      <c r="O84" s="56">
        <f>$L$84-EFEITO!$O$84*EFEITO!$AA$84</f>
        <v>1743.0554490608192</v>
      </c>
      <c r="P84" s="39"/>
      <c r="Q84" s="39"/>
      <c r="R84" s="39"/>
      <c r="S84" s="39"/>
      <c r="T84" s="39"/>
      <c r="U84" s="39"/>
      <c r="V84" s="39"/>
      <c r="W84" s="3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5" t="s">
        <v>21</v>
      </c>
      <c r="B85" s="35" t="s">
        <v>38</v>
      </c>
      <c r="C85" s="35" t="s">
        <v>39</v>
      </c>
      <c r="D85" s="35" t="s">
        <v>47</v>
      </c>
      <c r="E85" s="35" t="s">
        <v>48</v>
      </c>
      <c r="F85" s="35" t="s">
        <v>25</v>
      </c>
      <c r="G85" s="35" t="s">
        <v>25</v>
      </c>
      <c r="H85" s="35" t="s">
        <v>34</v>
      </c>
      <c r="I85" s="55">
        <v>44774</v>
      </c>
      <c r="J85" s="56">
        <f>EFEITO!$J$85*EFEITO!$Y$13</f>
        <v>0</v>
      </c>
      <c r="K85" s="56">
        <f ca="1">EFEITO!$L$85*EFEITO!$Z$13</f>
        <v>26786.031924326937</v>
      </c>
      <c r="L85" s="56">
        <f>EFEITO!$N$85*EFEITO!$AA$13</f>
        <v>56967.399914708236</v>
      </c>
      <c r="M85" s="56">
        <f>$J$85-EFEITO!$K$85*EFEITO!$Y$85</f>
        <v>0</v>
      </c>
      <c r="N85" s="56">
        <f ca="1">$K$85-EFEITO!$M$85*EFEITO!$Z$85</f>
        <v>0</v>
      </c>
      <c r="O85" s="56">
        <f>$L$85-EFEITO!$O$85*EFEITO!$AA$85</f>
        <v>1709.0219974412539</v>
      </c>
      <c r="P85" s="39"/>
      <c r="Q85" s="39"/>
      <c r="R85" s="39"/>
      <c r="S85" s="39"/>
      <c r="T85" s="39"/>
      <c r="U85" s="39"/>
      <c r="V85" s="39"/>
      <c r="W85" s="3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5" t="s">
        <v>21</v>
      </c>
      <c r="B86" s="35" t="s">
        <v>38</v>
      </c>
      <c r="C86" s="35" t="s">
        <v>39</v>
      </c>
      <c r="D86" s="35" t="s">
        <v>47</v>
      </c>
      <c r="E86" s="35" t="s">
        <v>48</v>
      </c>
      <c r="F86" s="35" t="s">
        <v>25</v>
      </c>
      <c r="G86" s="35" t="s">
        <v>25</v>
      </c>
      <c r="H86" s="35" t="s">
        <v>25</v>
      </c>
      <c r="I86" s="55">
        <v>44440</v>
      </c>
      <c r="J86" s="56">
        <f ca="1">EFEITO!$J$86*EFEITO!$Y$25</f>
        <v>29181.874192838335</v>
      </c>
      <c r="K86" s="56">
        <f>EFEITO!$L$86*EFEITO!$Z$25</f>
        <v>0</v>
      </c>
      <c r="L86" s="56">
        <f>EFEITO!$N$86*EFEITO!$AA$25</f>
        <v>0</v>
      </c>
      <c r="M86" s="56">
        <f ca="1">$J$86-EFEITO!$K$86*EFEITO!$Y$86</f>
        <v>0</v>
      </c>
      <c r="N86" s="56">
        <f>$K$86-EFEITO!$M$86*EFEITO!$Z$86</f>
        <v>0</v>
      </c>
      <c r="O86" s="56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5" t="s">
        <v>21</v>
      </c>
      <c r="B87" s="35" t="s">
        <v>38</v>
      </c>
      <c r="C87" s="35" t="s">
        <v>39</v>
      </c>
      <c r="D87" s="35" t="s">
        <v>47</v>
      </c>
      <c r="E87" s="35" t="s">
        <v>48</v>
      </c>
      <c r="F87" s="35" t="s">
        <v>25</v>
      </c>
      <c r="G87" s="35" t="s">
        <v>25</v>
      </c>
      <c r="H87" s="35" t="s">
        <v>25</v>
      </c>
      <c r="I87" s="55">
        <v>44470</v>
      </c>
      <c r="J87" s="56">
        <f ca="1">EFEITO!$J$87*EFEITO!$Y$25</f>
        <v>29181.874192838335</v>
      </c>
      <c r="K87" s="56">
        <f>EFEITO!$L$87*EFEITO!$Z$25</f>
        <v>0</v>
      </c>
      <c r="L87" s="56">
        <f>EFEITO!$N$87*EFEITO!$AA$25</f>
        <v>0</v>
      </c>
      <c r="M87" s="56">
        <f ca="1">$J$87-EFEITO!$K$87*EFEITO!$Y$87</f>
        <v>0</v>
      </c>
      <c r="N87" s="56">
        <f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5" t="s">
        <v>21</v>
      </c>
      <c r="B88" s="35" t="s">
        <v>38</v>
      </c>
      <c r="C88" s="35" t="s">
        <v>39</v>
      </c>
      <c r="D88" s="35" t="s">
        <v>47</v>
      </c>
      <c r="E88" s="35" t="s">
        <v>48</v>
      </c>
      <c r="F88" s="35" t="s">
        <v>25</v>
      </c>
      <c r="G88" s="35" t="s">
        <v>25</v>
      </c>
      <c r="H88" s="35" t="s">
        <v>25</v>
      </c>
      <c r="I88" s="55">
        <v>44501</v>
      </c>
      <c r="J88" s="56">
        <f ca="1">EFEITO!$J$88*EFEITO!$Y$25</f>
        <v>29181.874192838335</v>
      </c>
      <c r="K88" s="56">
        <f>EFEITO!$L$88*EFEITO!$Z$25</f>
        <v>0</v>
      </c>
      <c r="L88" s="56">
        <f>EFEITO!$N$88*EFEITO!$AA$25</f>
        <v>0</v>
      </c>
      <c r="M88" s="56">
        <f ca="1">$J$88-EFEITO!$K$88*EFEITO!$Y$88</f>
        <v>0</v>
      </c>
      <c r="N88" s="56">
        <f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5" t="s">
        <v>21</v>
      </c>
      <c r="B89" s="35" t="s">
        <v>38</v>
      </c>
      <c r="C89" s="35" t="s">
        <v>39</v>
      </c>
      <c r="D89" s="35" t="s">
        <v>47</v>
      </c>
      <c r="E89" s="35" t="s">
        <v>48</v>
      </c>
      <c r="F89" s="35" t="s">
        <v>25</v>
      </c>
      <c r="G89" s="35" t="s">
        <v>25</v>
      </c>
      <c r="H89" s="35" t="s">
        <v>25</v>
      </c>
      <c r="I89" s="55">
        <v>44531</v>
      </c>
      <c r="J89" s="56">
        <f ca="1">EFEITO!$J$89*EFEITO!$Y$25</f>
        <v>29181.874192838335</v>
      </c>
      <c r="K89" s="56">
        <f>EFEITO!$L$89*EFEITO!$Z$25</f>
        <v>0</v>
      </c>
      <c r="L89" s="56">
        <f>EFEITO!$N$89*EFEITO!$AA$25</f>
        <v>0</v>
      </c>
      <c r="M89" s="56">
        <f ca="1">$J$89-EFEITO!$K$89*EFEITO!$Y$89</f>
        <v>0</v>
      </c>
      <c r="N89" s="56">
        <f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5" t="s">
        <v>21</v>
      </c>
      <c r="B90" s="35" t="s">
        <v>38</v>
      </c>
      <c r="C90" s="35" t="s">
        <v>39</v>
      </c>
      <c r="D90" s="35" t="s">
        <v>47</v>
      </c>
      <c r="E90" s="35" t="s">
        <v>48</v>
      </c>
      <c r="F90" s="35" t="s">
        <v>25</v>
      </c>
      <c r="G90" s="35" t="s">
        <v>25</v>
      </c>
      <c r="H90" s="35" t="s">
        <v>25</v>
      </c>
      <c r="I90" s="55">
        <v>44562</v>
      </c>
      <c r="J90" s="56">
        <f ca="1">EFEITO!$J$90*EFEITO!$Y$25</f>
        <v>17908.523235340082</v>
      </c>
      <c r="K90" s="56">
        <f>EFEITO!$L$90*EFEITO!$Z$25</f>
        <v>0</v>
      </c>
      <c r="L90" s="56">
        <f>EFEITO!$N$90*EFEITO!$AA$25</f>
        <v>0</v>
      </c>
      <c r="M90" s="56">
        <f ca="1">$J$90-EFEITO!$K$90*EFEITO!$Y$90</f>
        <v>0</v>
      </c>
      <c r="N90" s="56">
        <f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5" t="s">
        <v>21</v>
      </c>
      <c r="B91" s="35" t="s">
        <v>38</v>
      </c>
      <c r="C91" s="35" t="s">
        <v>39</v>
      </c>
      <c r="D91" s="35" t="s">
        <v>47</v>
      </c>
      <c r="E91" s="35" t="s">
        <v>48</v>
      </c>
      <c r="F91" s="35" t="s">
        <v>25</v>
      </c>
      <c r="G91" s="35" t="s">
        <v>25</v>
      </c>
      <c r="H91" s="35" t="s">
        <v>25</v>
      </c>
      <c r="I91" s="55">
        <v>44593</v>
      </c>
      <c r="J91" s="56">
        <f ca="1">EFEITO!$J$91*EFEITO!$Y$25</f>
        <v>17908.523235340082</v>
      </c>
      <c r="K91" s="56">
        <f>EFEITO!$L$91*EFEITO!$Z$25</f>
        <v>0</v>
      </c>
      <c r="L91" s="56">
        <f>EFEITO!$N$91*EFEITO!$AA$25</f>
        <v>0</v>
      </c>
      <c r="M91" s="56">
        <f ca="1">$J$91-EFEITO!$K$91*EFEITO!$Y$91</f>
        <v>0</v>
      </c>
      <c r="N91" s="56">
        <f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5" t="s">
        <v>21</v>
      </c>
      <c r="B92" s="35" t="s">
        <v>38</v>
      </c>
      <c r="C92" s="35" t="s">
        <v>39</v>
      </c>
      <c r="D92" s="35" t="s">
        <v>47</v>
      </c>
      <c r="E92" s="35" t="s">
        <v>48</v>
      </c>
      <c r="F92" s="35" t="s">
        <v>25</v>
      </c>
      <c r="G92" s="35" t="s">
        <v>25</v>
      </c>
      <c r="H92" s="35" t="s">
        <v>25</v>
      </c>
      <c r="I92" s="55">
        <v>44621</v>
      </c>
      <c r="J92" s="56">
        <f ca="1">EFEITO!$J$92*EFEITO!$Y$25</f>
        <v>17908.523235340082</v>
      </c>
      <c r="K92" s="56">
        <f>EFEITO!$L$92*EFEITO!$Z$25</f>
        <v>0</v>
      </c>
      <c r="L92" s="56">
        <f>EFEITO!$N$92*EFEITO!$AA$25</f>
        <v>0</v>
      </c>
      <c r="M92" s="56">
        <f ca="1">$J$92-EFEITO!$K$92*EFEITO!$Y$92</f>
        <v>0</v>
      </c>
      <c r="N92" s="56">
        <f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5" t="s">
        <v>21</v>
      </c>
      <c r="B93" s="35" t="s">
        <v>38</v>
      </c>
      <c r="C93" s="35" t="s">
        <v>39</v>
      </c>
      <c r="D93" s="35" t="s">
        <v>47</v>
      </c>
      <c r="E93" s="35" t="s">
        <v>48</v>
      </c>
      <c r="F93" s="35" t="s">
        <v>25</v>
      </c>
      <c r="G93" s="35" t="s">
        <v>25</v>
      </c>
      <c r="H93" s="35" t="s">
        <v>25</v>
      </c>
      <c r="I93" s="55">
        <v>44652</v>
      </c>
      <c r="J93" s="56">
        <f ca="1">EFEITO!$J$93*EFEITO!$Y$25</f>
        <v>17908.523235340082</v>
      </c>
      <c r="K93" s="56">
        <f>EFEITO!$L$93*EFEITO!$Z$25</f>
        <v>0</v>
      </c>
      <c r="L93" s="56">
        <f>EFEITO!$N$93*EFEITO!$AA$25</f>
        <v>0</v>
      </c>
      <c r="M93" s="56">
        <f ca="1">$J$93-EFEITO!$K$93*EFEITO!$Y$93</f>
        <v>0</v>
      </c>
      <c r="N93" s="56">
        <f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5" t="s">
        <v>21</v>
      </c>
      <c r="B94" s="35" t="s">
        <v>38</v>
      </c>
      <c r="C94" s="35" t="s">
        <v>39</v>
      </c>
      <c r="D94" s="35" t="s">
        <v>47</v>
      </c>
      <c r="E94" s="35" t="s">
        <v>48</v>
      </c>
      <c r="F94" s="35" t="s">
        <v>25</v>
      </c>
      <c r="G94" s="35" t="s">
        <v>25</v>
      </c>
      <c r="H94" s="35" t="s">
        <v>25</v>
      </c>
      <c r="I94" s="55">
        <v>44682</v>
      </c>
      <c r="J94" s="56">
        <f ca="1">EFEITO!$J$94*EFEITO!$Y$25</f>
        <v>17908.523235340082</v>
      </c>
      <c r="K94" s="56">
        <f>EFEITO!$L$94*EFEITO!$Z$25</f>
        <v>0</v>
      </c>
      <c r="L94" s="56">
        <f>EFEITO!$N$94*EFEITO!$AA$25</f>
        <v>0</v>
      </c>
      <c r="M94" s="56">
        <f ca="1">$J$94-EFEITO!$K$94*EFEITO!$Y$94</f>
        <v>0</v>
      </c>
      <c r="N94" s="56">
        <f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5" t="s">
        <v>21</v>
      </c>
      <c r="B95" s="35" t="s">
        <v>38</v>
      </c>
      <c r="C95" s="35" t="s">
        <v>39</v>
      </c>
      <c r="D95" s="35" t="s">
        <v>47</v>
      </c>
      <c r="E95" s="35" t="s">
        <v>48</v>
      </c>
      <c r="F95" s="35" t="s">
        <v>25</v>
      </c>
      <c r="G95" s="35" t="s">
        <v>25</v>
      </c>
      <c r="H95" s="35" t="s">
        <v>25</v>
      </c>
      <c r="I95" s="55">
        <v>44713</v>
      </c>
      <c r="J95" s="56">
        <f ca="1">EFEITO!$J$95*EFEITO!$Y$25</f>
        <v>17908.523235340082</v>
      </c>
      <c r="K95" s="56">
        <f>EFEITO!$L$95*EFEITO!$Z$25</f>
        <v>0</v>
      </c>
      <c r="L95" s="56">
        <f>EFEITO!$N$95*EFEITO!$AA$25</f>
        <v>0</v>
      </c>
      <c r="M95" s="56">
        <f ca="1">$J$95-EFEITO!$K$95*EFEITO!$Y$95</f>
        <v>0</v>
      </c>
      <c r="N95" s="56">
        <f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5" t="s">
        <v>21</v>
      </c>
      <c r="B96" s="35" t="s">
        <v>38</v>
      </c>
      <c r="C96" s="35" t="s">
        <v>39</v>
      </c>
      <c r="D96" s="35" t="s">
        <v>47</v>
      </c>
      <c r="E96" s="35" t="s">
        <v>48</v>
      </c>
      <c r="F96" s="35" t="s">
        <v>25</v>
      </c>
      <c r="G96" s="35" t="s">
        <v>25</v>
      </c>
      <c r="H96" s="35" t="s">
        <v>25</v>
      </c>
      <c r="I96" s="55">
        <v>44743</v>
      </c>
      <c r="J96" s="56">
        <f ca="1">EFEITO!$J$96*EFEITO!$Y$25</f>
        <v>17940.732809504363</v>
      </c>
      <c r="K96" s="56">
        <f>EFEITO!$L$96*EFEITO!$Z$25</f>
        <v>0</v>
      </c>
      <c r="L96" s="56">
        <f>EFEITO!$N$96*EFEITO!$AA$25</f>
        <v>0</v>
      </c>
      <c r="M96" s="56">
        <f ca="1">$J$96-EFEITO!$K$96*EFEITO!$Y$96</f>
        <v>0</v>
      </c>
      <c r="N96" s="56">
        <f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5" t="s">
        <v>21</v>
      </c>
      <c r="B97" s="35" t="s">
        <v>38</v>
      </c>
      <c r="C97" s="35" t="s">
        <v>39</v>
      </c>
      <c r="D97" s="35" t="s">
        <v>47</v>
      </c>
      <c r="E97" s="35" t="s">
        <v>48</v>
      </c>
      <c r="F97" s="35" t="s">
        <v>25</v>
      </c>
      <c r="G97" s="35" t="s">
        <v>25</v>
      </c>
      <c r="H97" s="35" t="s">
        <v>25</v>
      </c>
      <c r="I97" s="55">
        <v>44774</v>
      </c>
      <c r="J97" s="56">
        <f ca="1">EFEITO!$J$97*EFEITO!$Y$25</f>
        <v>17908.523235340082</v>
      </c>
      <c r="K97" s="56">
        <f>EFEITO!$L$97*EFEITO!$Z$25</f>
        <v>0</v>
      </c>
      <c r="L97" s="56">
        <f>EFEITO!$N$97*EFEITO!$AA$25</f>
        <v>0</v>
      </c>
      <c r="M97" s="56">
        <f ca="1">$J$97-EFEITO!$K$97*EFEITO!$Y$97</f>
        <v>0</v>
      </c>
      <c r="N97" s="56">
        <f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5" t="s">
        <v>21</v>
      </c>
      <c r="B98" s="35" t="s">
        <v>38</v>
      </c>
      <c r="C98" s="35" t="s">
        <v>39</v>
      </c>
      <c r="D98" s="35" t="s">
        <v>47</v>
      </c>
      <c r="E98" s="35" t="s">
        <v>48</v>
      </c>
      <c r="F98" s="35" t="s">
        <v>25</v>
      </c>
      <c r="G98" s="35" t="s">
        <v>25</v>
      </c>
      <c r="H98" s="35" t="s">
        <v>40</v>
      </c>
      <c r="I98" s="55">
        <v>44440</v>
      </c>
      <c r="J98" s="56">
        <f>EFEITO!$J$98*EFEITO!$Y$37</f>
        <v>0</v>
      </c>
      <c r="K98" s="56">
        <f ca="1">EFEITO!$L$98*EFEITO!$Z$37</f>
        <v>53543.241845104807</v>
      </c>
      <c r="L98" s="56">
        <f>EFEITO!$N$98*EFEITO!$AA$37</f>
        <v>5683.2795217589228</v>
      </c>
      <c r="M98" s="56">
        <f>$J$98-EFEITO!$K$98*EFEITO!$Y$98</f>
        <v>0</v>
      </c>
      <c r="N98" s="56">
        <f ca="1">$K$98-EFEITO!$M$98*EFEITO!$Z$98</f>
        <v>0</v>
      </c>
      <c r="O98" s="56">
        <f>$L$98-EFEITO!$O$98*EFEITO!$AA$98</f>
        <v>170.49838565276877</v>
      </c>
      <c r="P98" s="39"/>
      <c r="Q98" s="39"/>
      <c r="R98" s="39"/>
      <c r="S98" s="39"/>
      <c r="T98" s="39"/>
      <c r="U98" s="39"/>
      <c r="V98" s="39"/>
      <c r="W98" s="3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5" t="s">
        <v>21</v>
      </c>
      <c r="B99" s="35" t="s">
        <v>38</v>
      </c>
      <c r="C99" s="35" t="s">
        <v>39</v>
      </c>
      <c r="D99" s="35" t="s">
        <v>47</v>
      </c>
      <c r="E99" s="35" t="s">
        <v>48</v>
      </c>
      <c r="F99" s="35" t="s">
        <v>25</v>
      </c>
      <c r="G99" s="35" t="s">
        <v>25</v>
      </c>
      <c r="H99" s="35" t="s">
        <v>40</v>
      </c>
      <c r="I99" s="55">
        <v>44470</v>
      </c>
      <c r="J99" s="56">
        <f>EFEITO!$J$99*EFEITO!$Y$37</f>
        <v>0</v>
      </c>
      <c r="K99" s="56">
        <f ca="1">EFEITO!$L$99*EFEITO!$Z$37</f>
        <v>50525.077959183975</v>
      </c>
      <c r="L99" s="56">
        <f>EFEITO!$N$99*EFEITO!$AA$37</f>
        <v>5362.9203426156737</v>
      </c>
      <c r="M99" s="56">
        <f>$J$99-EFEITO!$K$99*EFEITO!$Y$99</f>
        <v>0</v>
      </c>
      <c r="N99" s="56">
        <f ca="1">$K$99-EFEITO!$M$99*EFEITO!$Z$99</f>
        <v>0</v>
      </c>
      <c r="O99" s="56">
        <f>$L$99-EFEITO!$O$99*EFEITO!$AA$99</f>
        <v>160.88761027847067</v>
      </c>
      <c r="P99" s="39"/>
      <c r="Q99" s="39"/>
      <c r="R99" s="39"/>
      <c r="S99" s="39"/>
      <c r="T99" s="39"/>
      <c r="U99" s="39"/>
      <c r="V99" s="39"/>
      <c r="W99" s="3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5" t="s">
        <v>21</v>
      </c>
      <c r="B100" s="35" t="s">
        <v>38</v>
      </c>
      <c r="C100" s="35" t="s">
        <v>39</v>
      </c>
      <c r="D100" s="35" t="s">
        <v>47</v>
      </c>
      <c r="E100" s="35" t="s">
        <v>48</v>
      </c>
      <c r="F100" s="35" t="s">
        <v>25</v>
      </c>
      <c r="G100" s="35" t="s">
        <v>25</v>
      </c>
      <c r="H100" s="35" t="s">
        <v>40</v>
      </c>
      <c r="I100" s="55">
        <v>44501</v>
      </c>
      <c r="J100" s="56">
        <f>EFEITO!$J$100*EFEITO!$Y$37</f>
        <v>0</v>
      </c>
      <c r="K100" s="56">
        <f ca="1">EFEITO!$L$100*EFEITO!$Z$37</f>
        <v>49797.167845520715</v>
      </c>
      <c r="L100" s="56">
        <f>EFEITO!$N$100*EFEITO!$AA$37</f>
        <v>5285.6572464693609</v>
      </c>
      <c r="M100" s="56">
        <f>$J$100-EFEITO!$K$100*EFEITO!$Y$100</f>
        <v>0</v>
      </c>
      <c r="N100" s="56">
        <f ca="1">$K$100-EFEITO!$M$100*EFEITO!$Z$100</f>
        <v>0</v>
      </c>
      <c r="O100" s="56">
        <f>$L$100-EFEITO!$O$100*EFEITO!$AA$100</f>
        <v>158.56971739408073</v>
      </c>
      <c r="P100" s="39"/>
      <c r="Q100" s="39"/>
      <c r="R100" s="39"/>
      <c r="S100" s="39"/>
      <c r="T100" s="39"/>
      <c r="U100" s="39"/>
      <c r="V100" s="39"/>
      <c r="W100" s="3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5" t="s">
        <v>21</v>
      </c>
      <c r="B101" s="35" t="s">
        <v>38</v>
      </c>
      <c r="C101" s="35" t="s">
        <v>39</v>
      </c>
      <c r="D101" s="35" t="s">
        <v>47</v>
      </c>
      <c r="E101" s="35" t="s">
        <v>48</v>
      </c>
      <c r="F101" s="35" t="s">
        <v>25</v>
      </c>
      <c r="G101" s="35" t="s">
        <v>25</v>
      </c>
      <c r="H101" s="35" t="s">
        <v>40</v>
      </c>
      <c r="I101" s="55">
        <v>44531</v>
      </c>
      <c r="J101" s="56">
        <f>EFEITO!$J$101*EFEITO!$Y$37</f>
        <v>0</v>
      </c>
      <c r="K101" s="56">
        <f ca="1">EFEITO!$L$101*EFEITO!$Z$37</f>
        <v>57639.321404568793</v>
      </c>
      <c r="L101" s="56">
        <f>EFEITO!$N$101*EFEITO!$AA$37</f>
        <v>6118.0526934533309</v>
      </c>
      <c r="M101" s="56">
        <f>$J$101-EFEITO!$K$101*EFEITO!$Y$101</f>
        <v>0</v>
      </c>
      <c r="N101" s="56">
        <f ca="1">$K$101-EFEITO!$M$101*EFEITO!$Z$101</f>
        <v>0</v>
      </c>
      <c r="O101" s="56">
        <f>$L$101-EFEITO!$O$101*EFEITO!$AA$101</f>
        <v>183.54158080360048</v>
      </c>
      <c r="P101" s="39"/>
      <c r="Q101" s="39"/>
      <c r="R101" s="39"/>
      <c r="S101" s="39"/>
      <c r="T101" s="39"/>
      <c r="U101" s="39"/>
      <c r="V101" s="39"/>
      <c r="W101" s="3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5" t="s">
        <v>21</v>
      </c>
      <c r="B102" s="35" t="s">
        <v>38</v>
      </c>
      <c r="C102" s="35" t="s">
        <v>39</v>
      </c>
      <c r="D102" s="35" t="s">
        <v>47</v>
      </c>
      <c r="E102" s="35" t="s">
        <v>48</v>
      </c>
      <c r="F102" s="35" t="s">
        <v>25</v>
      </c>
      <c r="G102" s="35" t="s">
        <v>25</v>
      </c>
      <c r="H102" s="35" t="s">
        <v>40</v>
      </c>
      <c r="I102" s="55">
        <v>44562</v>
      </c>
      <c r="J102" s="56">
        <f>EFEITO!$J$102*EFEITO!$Y$37</f>
        <v>0</v>
      </c>
      <c r="K102" s="56">
        <f ca="1">EFEITO!$L$102*EFEITO!$Z$37</f>
        <v>49873.256010712001</v>
      </c>
      <c r="L102" s="56">
        <f>EFEITO!$N$102*EFEITO!$AA$37</f>
        <v>5293.7335282965023</v>
      </c>
      <c r="M102" s="56">
        <f>$J$102-EFEITO!$K$102*EFEITO!$Y$102</f>
        <v>0</v>
      </c>
      <c r="N102" s="56">
        <f ca="1">$K$102-EFEITO!$M$102*EFEITO!$Z$102</f>
        <v>0</v>
      </c>
      <c r="O102" s="56">
        <f>$L$102-EFEITO!$O$102*EFEITO!$AA$102</f>
        <v>158.81200584889575</v>
      </c>
      <c r="P102" s="39"/>
      <c r="Q102" s="39"/>
      <c r="R102" s="39"/>
      <c r="S102" s="39"/>
      <c r="T102" s="39"/>
      <c r="U102" s="39"/>
      <c r="V102" s="39"/>
      <c r="W102" s="3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5" t="s">
        <v>21</v>
      </c>
      <c r="B103" s="35" t="s">
        <v>38</v>
      </c>
      <c r="C103" s="35" t="s">
        <v>39</v>
      </c>
      <c r="D103" s="35" t="s">
        <v>47</v>
      </c>
      <c r="E103" s="35" t="s">
        <v>48</v>
      </c>
      <c r="F103" s="35" t="s">
        <v>25</v>
      </c>
      <c r="G103" s="35" t="s">
        <v>25</v>
      </c>
      <c r="H103" s="35" t="s">
        <v>40</v>
      </c>
      <c r="I103" s="55">
        <v>44593</v>
      </c>
      <c r="J103" s="56">
        <f>EFEITO!$J$103*EFEITO!$Y$37</f>
        <v>0</v>
      </c>
      <c r="K103" s="56">
        <f ca="1">EFEITO!$L$103*EFEITO!$Z$37</f>
        <v>47108.719342095435</v>
      </c>
      <c r="L103" s="56">
        <f>EFEITO!$N$103*EFEITO!$AA$37</f>
        <v>5000.2952885770565</v>
      </c>
      <c r="M103" s="56">
        <f>$J$103-EFEITO!$K$103*EFEITO!$Y$103</f>
        <v>0</v>
      </c>
      <c r="N103" s="56">
        <f ca="1">$K$103-EFEITO!$M$103*EFEITO!$Z$103</f>
        <v>0</v>
      </c>
      <c r="O103" s="56">
        <f>$L$103-EFEITO!$O$103*EFEITO!$AA$103</f>
        <v>150.00885865731289</v>
      </c>
      <c r="P103" s="39"/>
      <c r="Q103" s="39"/>
      <c r="R103" s="39"/>
      <c r="S103" s="39"/>
      <c r="T103" s="39"/>
      <c r="U103" s="39"/>
      <c r="V103" s="39"/>
      <c r="W103" s="3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5" t="s">
        <v>21</v>
      </c>
      <c r="B104" s="35" t="s">
        <v>38</v>
      </c>
      <c r="C104" s="35" t="s">
        <v>39</v>
      </c>
      <c r="D104" s="35" t="s">
        <v>47</v>
      </c>
      <c r="E104" s="35" t="s">
        <v>48</v>
      </c>
      <c r="F104" s="35" t="s">
        <v>25</v>
      </c>
      <c r="G104" s="35" t="s">
        <v>25</v>
      </c>
      <c r="H104" s="35" t="s">
        <v>40</v>
      </c>
      <c r="I104" s="55">
        <v>44621</v>
      </c>
      <c r="J104" s="56">
        <f>EFEITO!$J$104*EFEITO!$Y$37</f>
        <v>0</v>
      </c>
      <c r="K104" s="56">
        <f ca="1">EFEITO!$L$104*EFEITO!$Z$37</f>
        <v>52226.916587295636</v>
      </c>
      <c r="L104" s="56">
        <f>EFEITO!$N$104*EFEITO!$AA$37</f>
        <v>5543.5598461493873</v>
      </c>
      <c r="M104" s="56">
        <f>$J$104-EFEITO!$K$104*EFEITO!$Y$104</f>
        <v>0</v>
      </c>
      <c r="N104" s="56">
        <f ca="1">$K$104-EFEITO!$M$104*EFEITO!$Z$104</f>
        <v>0</v>
      </c>
      <c r="O104" s="56">
        <f>$L$104-EFEITO!$O$104*EFEITO!$AA$104</f>
        <v>166.30679538448203</v>
      </c>
      <c r="P104" s="39"/>
      <c r="Q104" s="39"/>
      <c r="R104" s="39"/>
      <c r="S104" s="39"/>
      <c r="T104" s="39"/>
      <c r="U104" s="39"/>
      <c r="V104" s="39"/>
      <c r="W104" s="3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5" t="s">
        <v>21</v>
      </c>
      <c r="B105" s="35" t="s">
        <v>38</v>
      </c>
      <c r="C105" s="35" t="s">
        <v>39</v>
      </c>
      <c r="D105" s="35" t="s">
        <v>47</v>
      </c>
      <c r="E105" s="35" t="s">
        <v>48</v>
      </c>
      <c r="F105" s="35" t="s">
        <v>25</v>
      </c>
      <c r="G105" s="35" t="s">
        <v>25</v>
      </c>
      <c r="H105" s="35" t="s">
        <v>40</v>
      </c>
      <c r="I105" s="55">
        <v>44652</v>
      </c>
      <c r="J105" s="56">
        <f>EFEITO!$J$105*EFEITO!$Y$37</f>
        <v>0</v>
      </c>
      <c r="K105" s="56">
        <f ca="1">EFEITO!$L$105*EFEITO!$Z$37</f>
        <v>46626.827629217318</v>
      </c>
      <c r="L105" s="56">
        <f>EFEITO!$N$105*EFEITO!$AA$37</f>
        <v>4949.1455036718316</v>
      </c>
      <c r="M105" s="56">
        <f>$J$105-EFEITO!$K$105*EFEITO!$Y$105</f>
        <v>0</v>
      </c>
      <c r="N105" s="56">
        <f ca="1">$K$105-EFEITO!$M$105*EFEITO!$Z$105</f>
        <v>0</v>
      </c>
      <c r="O105" s="56">
        <f>$L$105-EFEITO!$O$105*EFEITO!$AA$105</f>
        <v>148.47436511015621</v>
      </c>
      <c r="P105" s="39"/>
      <c r="Q105" s="39"/>
      <c r="R105" s="39"/>
      <c r="S105" s="39"/>
      <c r="T105" s="39"/>
      <c r="U105" s="39"/>
      <c r="V105" s="39"/>
      <c r="W105" s="3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5" t="s">
        <v>21</v>
      </c>
      <c r="B106" s="35" t="s">
        <v>38</v>
      </c>
      <c r="C106" s="35" t="s">
        <v>39</v>
      </c>
      <c r="D106" s="35" t="s">
        <v>47</v>
      </c>
      <c r="E106" s="35" t="s">
        <v>48</v>
      </c>
      <c r="F106" s="35" t="s">
        <v>25</v>
      </c>
      <c r="G106" s="35" t="s">
        <v>25</v>
      </c>
      <c r="H106" s="35" t="s">
        <v>40</v>
      </c>
      <c r="I106" s="55">
        <v>44682</v>
      </c>
      <c r="J106" s="56">
        <f>EFEITO!$J$106*EFEITO!$Y$37</f>
        <v>0</v>
      </c>
      <c r="K106" s="56">
        <f ca="1">EFEITO!$L$106*EFEITO!$Z$37</f>
        <v>52429.818361139056</v>
      </c>
      <c r="L106" s="56">
        <f>EFEITO!$N$106*EFEITO!$AA$37</f>
        <v>5565.0965976884299</v>
      </c>
      <c r="M106" s="56">
        <f>$J$106-EFEITO!$K$106*EFEITO!$Y$106</f>
        <v>0</v>
      </c>
      <c r="N106" s="56">
        <f ca="1">$K$106-EFEITO!$M$106*EFEITO!$Z$106</f>
        <v>0</v>
      </c>
      <c r="O106" s="56">
        <f>$L$106-EFEITO!$O$106*EFEITO!$AA$106</f>
        <v>166.95289793065331</v>
      </c>
      <c r="P106" s="39"/>
      <c r="Q106" s="39"/>
      <c r="R106" s="39"/>
      <c r="S106" s="39"/>
      <c r="T106" s="39"/>
      <c r="U106" s="39"/>
      <c r="V106" s="39"/>
      <c r="W106" s="3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5" t="s">
        <v>21</v>
      </c>
      <c r="B107" s="35" t="s">
        <v>38</v>
      </c>
      <c r="C107" s="35" t="s">
        <v>39</v>
      </c>
      <c r="D107" s="35" t="s">
        <v>47</v>
      </c>
      <c r="E107" s="35" t="s">
        <v>48</v>
      </c>
      <c r="F107" s="35" t="s">
        <v>25</v>
      </c>
      <c r="G107" s="35" t="s">
        <v>25</v>
      </c>
      <c r="H107" s="35" t="s">
        <v>40</v>
      </c>
      <c r="I107" s="55">
        <v>44713</v>
      </c>
      <c r="J107" s="56">
        <f>EFEITO!$J$107*EFEITO!$Y$37</f>
        <v>0</v>
      </c>
      <c r="K107" s="56">
        <f ca="1">EFEITO!$L$107*EFEITO!$Z$37</f>
        <v>53157.728474802316</v>
      </c>
      <c r="L107" s="56">
        <f>EFEITO!$N$107*EFEITO!$AA$37</f>
        <v>5642.3596938347428</v>
      </c>
      <c r="M107" s="56">
        <f>$J$107-EFEITO!$K$107*EFEITO!$Y$107</f>
        <v>0</v>
      </c>
      <c r="N107" s="56">
        <f ca="1">$K$107-EFEITO!$M$107*EFEITO!$Z$107</f>
        <v>0</v>
      </c>
      <c r="O107" s="56">
        <f>$L$107-EFEITO!$O$107*EFEITO!$AA$107</f>
        <v>169.27079081504326</v>
      </c>
      <c r="P107" s="39"/>
      <c r="Q107" s="39"/>
      <c r="R107" s="39"/>
      <c r="S107" s="39"/>
      <c r="T107" s="39"/>
      <c r="U107" s="39"/>
      <c r="V107" s="39"/>
      <c r="W107" s="3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5" t="s">
        <v>21</v>
      </c>
      <c r="B108" s="35" t="s">
        <v>38</v>
      </c>
      <c r="C108" s="35" t="s">
        <v>39</v>
      </c>
      <c r="D108" s="35" t="s">
        <v>47</v>
      </c>
      <c r="E108" s="35" t="s">
        <v>48</v>
      </c>
      <c r="F108" s="35" t="s">
        <v>25</v>
      </c>
      <c r="G108" s="35" t="s">
        <v>25</v>
      </c>
      <c r="H108" s="35" t="s">
        <v>40</v>
      </c>
      <c r="I108" s="55">
        <v>44743</v>
      </c>
      <c r="J108" s="56">
        <f>EFEITO!$J$108*EFEITO!$Y$37</f>
        <v>0</v>
      </c>
      <c r="K108" s="56">
        <f ca="1">EFEITO!$L$108*EFEITO!$Z$37</f>
        <v>50996.824583369918</v>
      </c>
      <c r="L108" s="56">
        <f>EFEITO!$N$108*EFEITO!$AA$37</f>
        <v>5412.9932899439464</v>
      </c>
      <c r="M108" s="56">
        <f>$J$108-EFEITO!$K$108*EFEITO!$Y$108</f>
        <v>0</v>
      </c>
      <c r="N108" s="56">
        <f ca="1">$K$108-EFEITO!$M$108*EFEITO!$Z$108</f>
        <v>0</v>
      </c>
      <c r="O108" s="56">
        <f>$L$108-EFEITO!$O$108*EFEITO!$AA$108</f>
        <v>162.38979869831928</v>
      </c>
      <c r="P108" s="39"/>
      <c r="Q108" s="39"/>
      <c r="R108" s="39"/>
      <c r="S108" s="39"/>
      <c r="T108" s="39"/>
      <c r="U108" s="39"/>
      <c r="V108" s="39"/>
      <c r="W108" s="3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5" t="s">
        <v>21</v>
      </c>
      <c r="B109" s="35" t="s">
        <v>38</v>
      </c>
      <c r="C109" s="35" t="s">
        <v>39</v>
      </c>
      <c r="D109" s="35" t="s">
        <v>47</v>
      </c>
      <c r="E109" s="35" t="s">
        <v>48</v>
      </c>
      <c r="F109" s="35" t="s">
        <v>25</v>
      </c>
      <c r="G109" s="35" t="s">
        <v>25</v>
      </c>
      <c r="H109" s="35" t="s">
        <v>40</v>
      </c>
      <c r="I109" s="55">
        <v>44774</v>
      </c>
      <c r="J109" s="56">
        <f>EFEITO!$J$109*EFEITO!$Y$37</f>
        <v>0</v>
      </c>
      <c r="K109" s="56">
        <f ca="1">EFEITO!$L$109*EFEITO!$Z$37</f>
        <v>55034.569882853932</v>
      </c>
      <c r="L109" s="56">
        <f>EFEITO!$N$109*EFEITO!$AA$37</f>
        <v>5841.5746455708804</v>
      </c>
      <c r="M109" s="56">
        <f>$J$109-EFEITO!$K$109*EFEITO!$Y$109</f>
        <v>0</v>
      </c>
      <c r="N109" s="56">
        <f ca="1">$K$109-EFEITO!$M$109*EFEITO!$Z$109</f>
        <v>0</v>
      </c>
      <c r="O109" s="56">
        <f>$L$109-EFEITO!$O$109*EFEITO!$AA$109</f>
        <v>175.24723936712689</v>
      </c>
      <c r="P109" s="39"/>
      <c r="Q109" s="39"/>
      <c r="R109" s="39"/>
      <c r="S109" s="39"/>
      <c r="T109" s="39"/>
      <c r="U109" s="39"/>
      <c r="V109" s="39"/>
      <c r="W109" s="3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5" t="s">
        <v>21</v>
      </c>
      <c r="B110" s="35" t="s">
        <v>22</v>
      </c>
      <c r="C110" s="35" t="s">
        <v>33</v>
      </c>
      <c r="D110" s="35" t="s">
        <v>24</v>
      </c>
      <c r="E110" s="35" t="s">
        <v>24</v>
      </c>
      <c r="F110" s="35" t="s">
        <v>25</v>
      </c>
      <c r="G110" s="35" t="s">
        <v>25</v>
      </c>
      <c r="H110" s="35" t="s">
        <v>34</v>
      </c>
      <c r="I110" s="55">
        <v>44440</v>
      </c>
      <c r="J110" s="56">
        <f>EFEITO!$J$110*EFEITO!$Y$110</f>
        <v>0</v>
      </c>
      <c r="K110" s="56">
        <f ca="1">EFEITO!$L$110*EFEITO!$Z$110</f>
        <v>12.989703367959285</v>
      </c>
      <c r="L110" s="56">
        <f>EFEITO!$N$110*EFEITO!$AA$110</f>
        <v>9.9607475868068835</v>
      </c>
      <c r="M110" s="56">
        <f>$J$110-EFEITO!$K$110*EFEITO!$Y$110</f>
        <v>0</v>
      </c>
      <c r="N110" s="56">
        <f ca="1">$K$110-EFEITO!$M$110*EFEITO!$Z$110</f>
        <v>0</v>
      </c>
      <c r="O110" s="56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5" t="s">
        <v>21</v>
      </c>
      <c r="B111" s="35" t="s">
        <v>22</v>
      </c>
      <c r="C111" s="35" t="s">
        <v>33</v>
      </c>
      <c r="D111" s="35" t="s">
        <v>24</v>
      </c>
      <c r="E111" s="35" t="s">
        <v>24</v>
      </c>
      <c r="F111" s="35" t="s">
        <v>25</v>
      </c>
      <c r="G111" s="35" t="s">
        <v>25</v>
      </c>
      <c r="H111" s="35" t="s">
        <v>34</v>
      </c>
      <c r="I111" s="55">
        <v>44470</v>
      </c>
      <c r="J111" s="56">
        <f>EFEITO!$J$111*EFEITO!$Y$111</f>
        <v>0</v>
      </c>
      <c r="K111" s="56">
        <f ca="1">EFEITO!$L$111*EFEITO!$Z$111</f>
        <v>12.287557239961487</v>
      </c>
      <c r="L111" s="56">
        <f>EFEITO!$N$111*EFEITO!$AA$111</f>
        <v>9.4223287983308364</v>
      </c>
      <c r="M111" s="56">
        <f>$J$111-EFEITO!$K$111*EFEITO!$Y$111</f>
        <v>0</v>
      </c>
      <c r="N111" s="56">
        <f ca="1">$K$111-EFEITO!$M$111*EFEITO!$Z$111</f>
        <v>0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5" t="s">
        <v>21</v>
      </c>
      <c r="B112" s="35" t="s">
        <v>22</v>
      </c>
      <c r="C112" s="35" t="s">
        <v>33</v>
      </c>
      <c r="D112" s="35" t="s">
        <v>24</v>
      </c>
      <c r="E112" s="35" t="s">
        <v>24</v>
      </c>
      <c r="F112" s="35" t="s">
        <v>25</v>
      </c>
      <c r="G112" s="35" t="s">
        <v>25</v>
      </c>
      <c r="H112" s="35" t="s">
        <v>34</v>
      </c>
      <c r="I112" s="55">
        <v>44501</v>
      </c>
      <c r="J112" s="56">
        <f>EFEITO!$J$112*EFEITO!$Y$112</f>
        <v>0</v>
      </c>
      <c r="K112" s="56">
        <f ca="1">EFEITO!$L$112*EFEITO!$Z$112</f>
        <v>14.042922559955985</v>
      </c>
      <c r="L112" s="56">
        <f>EFEITO!$N$112*EFEITO!$AA$112</f>
        <v>10.768375769520956</v>
      </c>
      <c r="M112" s="56">
        <f>$J$112-EFEITO!$K$112*EFEITO!$Y$112</f>
        <v>0</v>
      </c>
      <c r="N112" s="56">
        <f ca="1">$K$112-EFEITO!$M$112*EFEITO!$Z$112</f>
        <v>0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5" t="s">
        <v>21</v>
      </c>
      <c r="B113" s="35" t="s">
        <v>22</v>
      </c>
      <c r="C113" s="35" t="s">
        <v>33</v>
      </c>
      <c r="D113" s="35" t="s">
        <v>24</v>
      </c>
      <c r="E113" s="35" t="s">
        <v>24</v>
      </c>
      <c r="F113" s="35" t="s">
        <v>25</v>
      </c>
      <c r="G113" s="35" t="s">
        <v>25</v>
      </c>
      <c r="H113" s="35" t="s">
        <v>34</v>
      </c>
      <c r="I113" s="55">
        <v>44531</v>
      </c>
      <c r="J113" s="56">
        <f>EFEITO!$J$113*EFEITO!$Y$113</f>
        <v>0</v>
      </c>
      <c r="K113" s="56">
        <f ca="1">EFEITO!$L$113*EFEITO!$Z$113</f>
        <v>21.064383839933978</v>
      </c>
      <c r="L113" s="56">
        <f>EFEITO!$N$113*EFEITO!$AA$113</f>
        <v>16.152563654281433</v>
      </c>
      <c r="M113" s="56">
        <f>$J$113-EFEITO!$K$113*EFEITO!$Y$113</f>
        <v>0</v>
      </c>
      <c r="N113" s="56">
        <f ca="1">$K$113-EFEITO!$M$113*EFEITO!$Z$113</f>
        <v>0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5" t="s">
        <v>21</v>
      </c>
      <c r="B114" s="35" t="s">
        <v>22</v>
      </c>
      <c r="C114" s="35" t="s">
        <v>33</v>
      </c>
      <c r="D114" s="35" t="s">
        <v>24</v>
      </c>
      <c r="E114" s="35" t="s">
        <v>24</v>
      </c>
      <c r="F114" s="35" t="s">
        <v>25</v>
      </c>
      <c r="G114" s="35" t="s">
        <v>25</v>
      </c>
      <c r="H114" s="35" t="s">
        <v>34</v>
      </c>
      <c r="I114" s="55">
        <v>44562</v>
      </c>
      <c r="J114" s="56">
        <f>EFEITO!$J$114*EFEITO!$Y$114</f>
        <v>0</v>
      </c>
      <c r="K114" s="56">
        <f ca="1">EFEITO!$L$114*EFEITO!$Z$114</f>
        <v>10.883264983965887</v>
      </c>
      <c r="L114" s="56">
        <f>EFEITO!$N$114*EFEITO!$AA$114</f>
        <v>8.3454912213787402</v>
      </c>
      <c r="M114" s="56">
        <f>$J$114-EFEITO!$K$114*EFEITO!$Y$114</f>
        <v>0</v>
      </c>
      <c r="N114" s="56">
        <f ca="1">$K$114-EFEITO!$M$114*EFEITO!$Z$114</f>
        <v>0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5" t="s">
        <v>21</v>
      </c>
      <c r="B115" s="35" t="s">
        <v>22</v>
      </c>
      <c r="C115" s="35" t="s">
        <v>33</v>
      </c>
      <c r="D115" s="35" t="s">
        <v>24</v>
      </c>
      <c r="E115" s="35" t="s">
        <v>24</v>
      </c>
      <c r="F115" s="35" t="s">
        <v>25</v>
      </c>
      <c r="G115" s="35" t="s">
        <v>25</v>
      </c>
      <c r="H115" s="35" t="s">
        <v>34</v>
      </c>
      <c r="I115" s="55">
        <v>44593</v>
      </c>
      <c r="J115" s="56">
        <f>EFEITO!$J$115*EFEITO!$Y$115</f>
        <v>0</v>
      </c>
      <c r="K115" s="56">
        <f ca="1">EFEITO!$L$115*EFEITO!$Z$115</f>
        <v>13.340776431958185</v>
      </c>
      <c r="L115" s="56">
        <f>EFEITO!$N$115*EFEITO!$AA$115</f>
        <v>10.229956981044907</v>
      </c>
      <c r="M115" s="56">
        <f>$J$115-EFEITO!$K$115*EFEITO!$Y$115</f>
        <v>0</v>
      </c>
      <c r="N115" s="56">
        <f ca="1">$K$115-EFEITO!$M$115*EFEITO!$Z$115</f>
        <v>0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5" t="s">
        <v>21</v>
      </c>
      <c r="B116" s="35" t="s">
        <v>22</v>
      </c>
      <c r="C116" s="35" t="s">
        <v>33</v>
      </c>
      <c r="D116" s="35" t="s">
        <v>24</v>
      </c>
      <c r="E116" s="35" t="s">
        <v>24</v>
      </c>
      <c r="F116" s="35" t="s">
        <v>25</v>
      </c>
      <c r="G116" s="35" t="s">
        <v>25</v>
      </c>
      <c r="H116" s="35" t="s">
        <v>34</v>
      </c>
      <c r="I116" s="55">
        <v>44621</v>
      </c>
      <c r="J116" s="56">
        <f>EFEITO!$J$116*EFEITO!$Y$116</f>
        <v>0</v>
      </c>
      <c r="K116" s="56">
        <f ca="1">EFEITO!$L$116*EFEITO!$Z$116</f>
        <v>21.766529967931774</v>
      </c>
      <c r="L116" s="56">
        <f>EFEITO!$N$116*EFEITO!$AA$116</f>
        <v>16.69098244275748</v>
      </c>
      <c r="M116" s="56">
        <f>$J$116-EFEITO!$K$116*EFEITO!$Y$116</f>
        <v>0</v>
      </c>
      <c r="N116" s="56">
        <f ca="1">$K$116-EFEITO!$M$116*EFEITO!$Z$116</f>
        <v>0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5" t="s">
        <v>21</v>
      </c>
      <c r="B117" s="35" t="s">
        <v>22</v>
      </c>
      <c r="C117" s="35" t="s">
        <v>33</v>
      </c>
      <c r="D117" s="35" t="s">
        <v>24</v>
      </c>
      <c r="E117" s="35" t="s">
        <v>24</v>
      </c>
      <c r="F117" s="35" t="s">
        <v>25</v>
      </c>
      <c r="G117" s="35" t="s">
        <v>25</v>
      </c>
      <c r="H117" s="35" t="s">
        <v>34</v>
      </c>
      <c r="I117" s="55">
        <v>44652</v>
      </c>
      <c r="J117" s="56">
        <f>EFEITO!$J$117*EFEITO!$Y$117</f>
        <v>0</v>
      </c>
      <c r="K117" s="56">
        <f ca="1">EFEITO!$L$117*EFEITO!$Z$117</f>
        <v>14.393995623954885</v>
      </c>
      <c r="L117" s="56">
        <f>EFEITO!$N$117*EFEITO!$AA$117</f>
        <v>11.03758516375898</v>
      </c>
      <c r="M117" s="56">
        <f>$J$117-EFEITO!$K$117*EFEITO!$Y$117</f>
        <v>0</v>
      </c>
      <c r="N117" s="56">
        <f ca="1">$K$117-EFEITO!$M$117*EFEITO!$Z$117</f>
        <v>0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5" t="s">
        <v>21</v>
      </c>
      <c r="B118" s="35" t="s">
        <v>22</v>
      </c>
      <c r="C118" s="35" t="s">
        <v>33</v>
      </c>
      <c r="D118" s="35" t="s">
        <v>24</v>
      </c>
      <c r="E118" s="35" t="s">
        <v>24</v>
      </c>
      <c r="F118" s="35" t="s">
        <v>25</v>
      </c>
      <c r="G118" s="35" t="s">
        <v>25</v>
      </c>
      <c r="H118" s="35" t="s">
        <v>34</v>
      </c>
      <c r="I118" s="55">
        <v>44682</v>
      </c>
      <c r="J118" s="56">
        <f>EFEITO!$J$118*EFEITO!$Y$118</f>
        <v>0</v>
      </c>
      <c r="K118" s="56">
        <f ca="1">EFEITO!$L$118*EFEITO!$Z$118</f>
        <v>14.745068687953784</v>
      </c>
      <c r="L118" s="56">
        <f>EFEITO!$N$118*EFEITO!$AA$118</f>
        <v>11.306794557997003</v>
      </c>
      <c r="M118" s="56">
        <f>$J$118-EFEITO!$K$118*EFEITO!$Y$118</f>
        <v>0</v>
      </c>
      <c r="N118" s="56">
        <f ca="1">$K$118-EFEITO!$M$118*EFEITO!$Z$118</f>
        <v>0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5" t="s">
        <v>21</v>
      </c>
      <c r="B119" s="35" t="s">
        <v>22</v>
      </c>
      <c r="C119" s="35" t="s">
        <v>33</v>
      </c>
      <c r="D119" s="35" t="s">
        <v>24</v>
      </c>
      <c r="E119" s="35" t="s">
        <v>24</v>
      </c>
      <c r="F119" s="35" t="s">
        <v>25</v>
      </c>
      <c r="G119" s="35" t="s">
        <v>25</v>
      </c>
      <c r="H119" s="35" t="s">
        <v>34</v>
      </c>
      <c r="I119" s="55">
        <v>44713</v>
      </c>
      <c r="J119" s="56">
        <f>EFEITO!$J$119*EFEITO!$Y$119</f>
        <v>0</v>
      </c>
      <c r="K119" s="56">
        <f ca="1">EFEITO!$L$119*EFEITO!$Z$119</f>
        <v>14.745068687953784</v>
      </c>
      <c r="L119" s="56">
        <f>EFEITO!$N$119*EFEITO!$AA$119</f>
        <v>11.306794557997003</v>
      </c>
      <c r="M119" s="56">
        <f>$J$119-EFEITO!$K$119*EFEITO!$Y$119</f>
        <v>0</v>
      </c>
      <c r="N119" s="56">
        <f ca="1">$K$119-EFEITO!$M$119*EFEITO!$Z$119</f>
        <v>0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5" t="s">
        <v>21</v>
      </c>
      <c r="B120" s="35" t="s">
        <v>22</v>
      </c>
      <c r="C120" s="35" t="s">
        <v>33</v>
      </c>
      <c r="D120" s="35" t="s">
        <v>24</v>
      </c>
      <c r="E120" s="35" t="s">
        <v>24</v>
      </c>
      <c r="F120" s="35" t="s">
        <v>25</v>
      </c>
      <c r="G120" s="35" t="s">
        <v>25</v>
      </c>
      <c r="H120" s="35" t="s">
        <v>34</v>
      </c>
      <c r="I120" s="55">
        <v>44743</v>
      </c>
      <c r="J120" s="56">
        <f>EFEITO!$J$120*EFEITO!$Y$120</f>
        <v>0</v>
      </c>
      <c r="K120" s="56">
        <f ca="1">EFEITO!$L$120*EFEITO!$Z$120</f>
        <v>14.393995623954885</v>
      </c>
      <c r="L120" s="56">
        <f>EFEITO!$N$120*EFEITO!$AA$120</f>
        <v>11.03758516375898</v>
      </c>
      <c r="M120" s="56">
        <f>$J$120-EFEITO!$K$120*EFEITO!$Y$120</f>
        <v>0</v>
      </c>
      <c r="N120" s="56">
        <f ca="1">$K$120-EFEITO!$M$120*EFEITO!$Z$120</f>
        <v>0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5" t="s">
        <v>21</v>
      </c>
      <c r="B121" s="35" t="s">
        <v>22</v>
      </c>
      <c r="C121" s="35" t="s">
        <v>33</v>
      </c>
      <c r="D121" s="35" t="s">
        <v>24</v>
      </c>
      <c r="E121" s="35" t="s">
        <v>24</v>
      </c>
      <c r="F121" s="35" t="s">
        <v>25</v>
      </c>
      <c r="G121" s="35" t="s">
        <v>25</v>
      </c>
      <c r="H121" s="35" t="s">
        <v>34</v>
      </c>
      <c r="I121" s="55">
        <v>44774</v>
      </c>
      <c r="J121" s="56">
        <f>EFEITO!$J$121*EFEITO!$Y$121</f>
        <v>0</v>
      </c>
      <c r="K121" s="56">
        <f ca="1">EFEITO!$L$121*EFEITO!$Z$121</f>
        <v>14.745068687953784</v>
      </c>
      <c r="L121" s="56">
        <f>EFEITO!$N$121*EFEITO!$AA$121</f>
        <v>11.306794557997003</v>
      </c>
      <c r="M121" s="56">
        <f>$J$121-EFEITO!$K$121*EFEITO!$Y$121</f>
        <v>0</v>
      </c>
      <c r="N121" s="56">
        <f ca="1">$K$121-EFEITO!$M$121*EFEITO!$Z$121</f>
        <v>0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5" t="s">
        <v>21</v>
      </c>
      <c r="B122" s="35" t="s">
        <v>22</v>
      </c>
      <c r="C122" s="35" t="s">
        <v>33</v>
      </c>
      <c r="D122" s="35" t="s">
        <v>24</v>
      </c>
      <c r="E122" s="35" t="s">
        <v>24</v>
      </c>
      <c r="F122" s="35" t="s">
        <v>25</v>
      </c>
      <c r="G122" s="35" t="s">
        <v>25</v>
      </c>
      <c r="H122" s="35" t="s">
        <v>35</v>
      </c>
      <c r="I122" s="55">
        <v>44440</v>
      </c>
      <c r="J122" s="56">
        <f>EFEITO!$J$122*EFEITO!$Y$122</f>
        <v>0</v>
      </c>
      <c r="K122" s="56">
        <f ca="1">EFEITO!$L$122*EFEITO!$Z$122</f>
        <v>12.992342700225946</v>
      </c>
      <c r="L122" s="56">
        <f>EFEITO!$N$122*EFEITO!$AA$122</f>
        <v>4.84576909628443</v>
      </c>
      <c r="M122" s="56">
        <f>$J$122-EFEITO!$K$122*EFEITO!$Y$122</f>
        <v>0</v>
      </c>
      <c r="N122" s="56">
        <f ca="1">$K$122-EFEITO!$M$122*EFEITO!$Z$122</f>
        <v>0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5" t="s">
        <v>21</v>
      </c>
      <c r="B123" s="35" t="s">
        <v>22</v>
      </c>
      <c r="C123" s="35" t="s">
        <v>33</v>
      </c>
      <c r="D123" s="35" t="s">
        <v>24</v>
      </c>
      <c r="E123" s="35" t="s">
        <v>24</v>
      </c>
      <c r="F123" s="35" t="s">
        <v>25</v>
      </c>
      <c r="G123" s="35" t="s">
        <v>25</v>
      </c>
      <c r="H123" s="35" t="s">
        <v>35</v>
      </c>
      <c r="I123" s="55">
        <v>44470</v>
      </c>
      <c r="J123" s="56">
        <f>EFEITO!$J$123*EFEITO!$Y$123</f>
        <v>0</v>
      </c>
      <c r="K123" s="56">
        <f ca="1">EFEITO!$L$123*EFEITO!$Z$123</f>
        <v>13.714139516905165</v>
      </c>
      <c r="L123" s="56">
        <f>EFEITO!$N$123*EFEITO!$AA$123</f>
        <v>5.1149784905224536</v>
      </c>
      <c r="M123" s="56">
        <f>$J$123-EFEITO!$K$123*EFEITO!$Y$123</f>
        <v>0</v>
      </c>
      <c r="N123" s="56">
        <f ca="1">$K$123-EFEITO!$M$123*EFEITO!$Z$123</f>
        <v>0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5" t="s">
        <v>21</v>
      </c>
      <c r="B124" s="35" t="s">
        <v>22</v>
      </c>
      <c r="C124" s="35" t="s">
        <v>33</v>
      </c>
      <c r="D124" s="35" t="s">
        <v>24</v>
      </c>
      <c r="E124" s="35" t="s">
        <v>24</v>
      </c>
      <c r="F124" s="35" t="s">
        <v>25</v>
      </c>
      <c r="G124" s="35" t="s">
        <v>25</v>
      </c>
      <c r="H124" s="35" t="s">
        <v>35</v>
      </c>
      <c r="I124" s="55">
        <v>44501</v>
      </c>
      <c r="J124" s="56">
        <f>EFEITO!$J$124*EFEITO!$Y$124</f>
        <v>0</v>
      </c>
      <c r="K124" s="56">
        <f ca="1">EFEITO!$L$124*EFEITO!$Z$124</f>
        <v>9.3833586168298488</v>
      </c>
      <c r="L124" s="56">
        <f>EFEITO!$N$124*EFEITO!$AA$124</f>
        <v>3.4997221250943102</v>
      </c>
      <c r="M124" s="56">
        <f>$J$124-EFEITO!$K$124*EFEITO!$Y$124</f>
        <v>0</v>
      </c>
      <c r="N124" s="56">
        <f ca="1">$K$124-EFEITO!$M$124*EFEITO!$Z$124</f>
        <v>0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5" t="s">
        <v>21</v>
      </c>
      <c r="B125" s="35" t="s">
        <v>22</v>
      </c>
      <c r="C125" s="35" t="s">
        <v>33</v>
      </c>
      <c r="D125" s="35" t="s">
        <v>24</v>
      </c>
      <c r="E125" s="35" t="s">
        <v>24</v>
      </c>
      <c r="F125" s="35" t="s">
        <v>25</v>
      </c>
      <c r="G125" s="35" t="s">
        <v>25</v>
      </c>
      <c r="H125" s="35" t="s">
        <v>35</v>
      </c>
      <c r="I125" s="55">
        <v>44531</v>
      </c>
      <c r="J125" s="56">
        <f>EFEITO!$J$125*EFEITO!$Y$125</f>
        <v>0</v>
      </c>
      <c r="K125" s="56">
        <f ca="1">EFEITO!$L$125*EFEITO!$Z$125</f>
        <v>5.0525777167545343</v>
      </c>
      <c r="L125" s="56">
        <f>EFEITO!$N$125*EFEITO!$AA$125</f>
        <v>1.8844657596661674</v>
      </c>
      <c r="M125" s="56">
        <f>$J$125-EFEITO!$K$125*EFEITO!$Y$125</f>
        <v>0</v>
      </c>
      <c r="N125" s="56">
        <f ca="1">$K$125-EFEITO!$M$125*EFEITO!$Z$125</f>
        <v>0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5" t="s">
        <v>21</v>
      </c>
      <c r="B126" s="35" t="s">
        <v>22</v>
      </c>
      <c r="C126" s="35" t="s">
        <v>33</v>
      </c>
      <c r="D126" s="35" t="s">
        <v>24</v>
      </c>
      <c r="E126" s="35" t="s">
        <v>24</v>
      </c>
      <c r="F126" s="35" t="s">
        <v>25</v>
      </c>
      <c r="G126" s="35" t="s">
        <v>25</v>
      </c>
      <c r="H126" s="35" t="s">
        <v>35</v>
      </c>
      <c r="I126" s="55">
        <v>44562</v>
      </c>
      <c r="J126" s="56">
        <f>EFEITO!$J$126*EFEITO!$Y$126</f>
        <v>0</v>
      </c>
      <c r="K126" s="56">
        <f ca="1">EFEITO!$L$126*EFEITO!$Z$126</f>
        <v>21.653904500376576</v>
      </c>
      <c r="L126" s="56">
        <f>EFEITO!$N$126*EFEITO!$AA$126</f>
        <v>8.0762818271407166</v>
      </c>
      <c r="M126" s="56">
        <f>$J$126-EFEITO!$K$126*EFEITO!$Y$126</f>
        <v>0</v>
      </c>
      <c r="N126" s="56">
        <f ca="1">$K$126-EFEITO!$M$126*EFEITO!$Z$126</f>
        <v>0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5" t="s">
        <v>21</v>
      </c>
      <c r="B127" s="35" t="s">
        <v>22</v>
      </c>
      <c r="C127" s="35" t="s">
        <v>33</v>
      </c>
      <c r="D127" s="35" t="s">
        <v>24</v>
      </c>
      <c r="E127" s="35" t="s">
        <v>24</v>
      </c>
      <c r="F127" s="35" t="s">
        <v>25</v>
      </c>
      <c r="G127" s="35" t="s">
        <v>25</v>
      </c>
      <c r="H127" s="35" t="s">
        <v>35</v>
      </c>
      <c r="I127" s="55">
        <v>44593</v>
      </c>
      <c r="J127" s="56">
        <f>EFEITO!$J$127*EFEITO!$Y$127</f>
        <v>0</v>
      </c>
      <c r="K127" s="56">
        <f ca="1">EFEITO!$L$127*EFEITO!$Z$127</f>
        <v>8.6615618001506309</v>
      </c>
      <c r="L127" s="56">
        <f>EFEITO!$N$127*EFEITO!$AA$127</f>
        <v>3.2305127308562867</v>
      </c>
      <c r="M127" s="56">
        <f>$J$127-EFEITO!$K$127*EFEITO!$Y$127</f>
        <v>0</v>
      </c>
      <c r="N127" s="56">
        <f ca="1">$K$127-EFEITO!$M$127*EFEITO!$Z$127</f>
        <v>0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5" t="s">
        <v>21</v>
      </c>
      <c r="B128" s="35" t="s">
        <v>22</v>
      </c>
      <c r="C128" s="35" t="s">
        <v>33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35</v>
      </c>
      <c r="I128" s="55">
        <v>44621</v>
      </c>
      <c r="J128" s="56">
        <f>EFEITO!$J$128*EFEITO!$Y$128</f>
        <v>0</v>
      </c>
      <c r="K128" s="56">
        <f ca="1">EFEITO!$L$128*EFEITO!$Z$128</f>
        <v>20.210310867018137</v>
      </c>
      <c r="L128" s="56">
        <f>EFEITO!$N$128*EFEITO!$AA$128</f>
        <v>7.5378630386646694</v>
      </c>
      <c r="M128" s="56">
        <f>$J$128-EFEITO!$K$128*EFEITO!$Y$128</f>
        <v>0</v>
      </c>
      <c r="N128" s="56">
        <f ca="1"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5" t="s">
        <v>21</v>
      </c>
      <c r="B129" s="35" t="s">
        <v>22</v>
      </c>
      <c r="C129" s="35" t="s">
        <v>33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35</v>
      </c>
      <c r="I129" s="55">
        <v>44652</v>
      </c>
      <c r="J129" s="56">
        <f>EFEITO!$J$129*EFEITO!$Y$129</f>
        <v>0</v>
      </c>
      <c r="K129" s="56">
        <f ca="1">EFEITO!$L$129*EFEITO!$Z$129</f>
        <v>13.714139516905165</v>
      </c>
      <c r="L129" s="56">
        <f>EFEITO!$N$129*EFEITO!$AA$129</f>
        <v>5.1149784905224536</v>
      </c>
      <c r="M129" s="56">
        <f>$J$129-EFEITO!$K$129*EFEITO!$Y$129</f>
        <v>0</v>
      </c>
      <c r="N129" s="56">
        <f ca="1"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5" t="s">
        <v>21</v>
      </c>
      <c r="B130" s="35" t="s">
        <v>22</v>
      </c>
      <c r="C130" s="35" t="s">
        <v>33</v>
      </c>
      <c r="D130" s="35" t="s">
        <v>24</v>
      </c>
      <c r="E130" s="35" t="s">
        <v>24</v>
      </c>
      <c r="F130" s="35" t="s">
        <v>25</v>
      </c>
      <c r="G130" s="35" t="s">
        <v>25</v>
      </c>
      <c r="H130" s="35" t="s">
        <v>35</v>
      </c>
      <c r="I130" s="55">
        <v>44682</v>
      </c>
      <c r="J130" s="56">
        <f>EFEITO!$J$130*EFEITO!$Y$130</f>
        <v>0</v>
      </c>
      <c r="K130" s="56">
        <f ca="1">EFEITO!$L$130*EFEITO!$Z$130</f>
        <v>8.6615618001506309</v>
      </c>
      <c r="L130" s="56">
        <f>EFEITO!$N$130*EFEITO!$AA$130</f>
        <v>3.2305127308562867</v>
      </c>
      <c r="M130" s="56">
        <f>$J$130-EFEITO!$K$130*EFEITO!$Y$130</f>
        <v>0</v>
      </c>
      <c r="N130" s="56">
        <f ca="1">$K$130-EFEITO!$M$130*EFEITO!$Z$130</f>
        <v>0</v>
      </c>
      <c r="O130" s="56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5" t="s">
        <v>21</v>
      </c>
      <c r="B131" s="35" t="s">
        <v>22</v>
      </c>
      <c r="C131" s="35" t="s">
        <v>33</v>
      </c>
      <c r="D131" s="35" t="s">
        <v>24</v>
      </c>
      <c r="E131" s="35" t="s">
        <v>24</v>
      </c>
      <c r="F131" s="35" t="s">
        <v>25</v>
      </c>
      <c r="G131" s="35" t="s">
        <v>25</v>
      </c>
      <c r="H131" s="35" t="s">
        <v>35</v>
      </c>
      <c r="I131" s="55">
        <v>44713</v>
      </c>
      <c r="J131" s="56">
        <f>EFEITO!$J$131*EFEITO!$Y$131</f>
        <v>0</v>
      </c>
      <c r="K131" s="56">
        <f ca="1">EFEITO!$L$131*EFEITO!$Z$131</f>
        <v>8.6615618001506309</v>
      </c>
      <c r="L131" s="56">
        <f>EFEITO!$N$131*EFEITO!$AA$131</f>
        <v>3.2305127308562867</v>
      </c>
      <c r="M131" s="56">
        <f>$J$131-EFEITO!$K$131*EFEITO!$Y$131</f>
        <v>0</v>
      </c>
      <c r="N131" s="56">
        <f ca="1">$K$131-EFEITO!$M$131*EFEITO!$Z$131</f>
        <v>0</v>
      </c>
      <c r="O131" s="56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5" t="s">
        <v>21</v>
      </c>
      <c r="B132" s="35" t="s">
        <v>22</v>
      </c>
      <c r="C132" s="35" t="s">
        <v>33</v>
      </c>
      <c r="D132" s="35" t="s">
        <v>24</v>
      </c>
      <c r="E132" s="35" t="s">
        <v>24</v>
      </c>
      <c r="F132" s="35" t="s">
        <v>25</v>
      </c>
      <c r="G132" s="35" t="s">
        <v>25</v>
      </c>
      <c r="H132" s="35" t="s">
        <v>35</v>
      </c>
      <c r="I132" s="55">
        <v>44743</v>
      </c>
      <c r="J132" s="56">
        <f>EFEITO!$J$132*EFEITO!$Y$132</f>
        <v>0</v>
      </c>
      <c r="K132" s="56">
        <f ca="1">EFEITO!$L$132*EFEITO!$Z$132</f>
        <v>9.3833586168298488</v>
      </c>
      <c r="L132" s="56">
        <f>EFEITO!$N$132*EFEITO!$AA$132</f>
        <v>3.4997221250943102</v>
      </c>
      <c r="M132" s="56">
        <f>$J$132-EFEITO!$K$132*EFEITO!$Y$132</f>
        <v>0</v>
      </c>
      <c r="N132" s="56">
        <f ca="1">$K$132-EFEITO!$M$132*EFEITO!$Z$132</f>
        <v>0</v>
      </c>
      <c r="O132" s="56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5" t="s">
        <v>21</v>
      </c>
      <c r="B133" s="35" t="s">
        <v>22</v>
      </c>
      <c r="C133" s="35" t="s">
        <v>33</v>
      </c>
      <c r="D133" s="35" t="s">
        <v>24</v>
      </c>
      <c r="E133" s="35" t="s">
        <v>24</v>
      </c>
      <c r="F133" s="35" t="s">
        <v>25</v>
      </c>
      <c r="G133" s="35" t="s">
        <v>25</v>
      </c>
      <c r="H133" s="35" t="s">
        <v>35</v>
      </c>
      <c r="I133" s="55">
        <v>44774</v>
      </c>
      <c r="J133" s="56">
        <f>EFEITO!$J$133*EFEITO!$Y$133</f>
        <v>0</v>
      </c>
      <c r="K133" s="56">
        <f ca="1">EFEITO!$L$133*EFEITO!$Z$133</f>
        <v>8.6615618001506309</v>
      </c>
      <c r="L133" s="56">
        <f>EFEITO!$N$133*EFEITO!$AA$133</f>
        <v>3.2305127308562867</v>
      </c>
      <c r="M133" s="56">
        <f>$J$133-EFEITO!$K$133*EFEITO!$Y$133</f>
        <v>0</v>
      </c>
      <c r="N133" s="56">
        <f ca="1">$K$133-EFEITO!$M$133*EFEITO!$Z$133</f>
        <v>0</v>
      </c>
      <c r="O133" s="56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5" t="s">
        <v>21</v>
      </c>
      <c r="B134" s="35" t="s">
        <v>22</v>
      </c>
      <c r="C134" s="35" t="s">
        <v>23</v>
      </c>
      <c r="D134" s="35" t="s">
        <v>24</v>
      </c>
      <c r="E134" s="35" t="s">
        <v>24</v>
      </c>
      <c r="F134" s="35" t="s">
        <v>25</v>
      </c>
      <c r="G134" s="35" t="s">
        <v>25</v>
      </c>
      <c r="H134" s="35" t="s">
        <v>25</v>
      </c>
      <c r="I134" s="55">
        <v>44440</v>
      </c>
      <c r="J134" s="56">
        <f>EFEITO!$J$134*EFEITO!$Y$134</f>
        <v>0</v>
      </c>
      <c r="K134" s="56">
        <f ca="1">EFEITO!$L$134*EFEITO!$Z$134</f>
        <v>205625.60725019471</v>
      </c>
      <c r="L134" s="56">
        <f>EFEITO!$N$134*EFEITO!$AA$134</f>
        <v>114068.05847956428</v>
      </c>
      <c r="M134" s="56">
        <f>$J$134-EFEITO!$K$134*EFEITO!$Y$134</f>
        <v>0</v>
      </c>
      <c r="N134" s="56">
        <f ca="1">$K$134-EFEITO!$M$134*EFEITO!$Z$134</f>
        <v>0</v>
      </c>
      <c r="O134" s="56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5" t="s">
        <v>27</v>
      </c>
      <c r="B135" s="35" t="s">
        <v>22</v>
      </c>
      <c r="C135" s="35" t="s">
        <v>23</v>
      </c>
      <c r="D135" s="35" t="s">
        <v>24</v>
      </c>
      <c r="E135" s="35" t="s">
        <v>24</v>
      </c>
      <c r="F135" s="35" t="s">
        <v>25</v>
      </c>
      <c r="G135" s="35" t="s">
        <v>25</v>
      </c>
      <c r="H135" s="35" t="s">
        <v>25</v>
      </c>
      <c r="I135" s="55">
        <v>44440</v>
      </c>
      <c r="J135" s="56">
        <f>EFEITO!$J$135*EFEITO!$Y$135</f>
        <v>0</v>
      </c>
      <c r="K135" s="56">
        <f ca="1">EFEITO!$L$135*EFEITO!$Z$135</f>
        <v>-383.86617262760114</v>
      </c>
      <c r="L135" s="56">
        <f>EFEITO!$N$135*EFEITO!$AA$135</f>
        <v>-212.94463084227689</v>
      </c>
      <c r="M135" s="56">
        <f>$J$135-EFEITO!$K$135*EFEITO!$Y$135</f>
        <v>0</v>
      </c>
      <c r="N135" s="56">
        <f ca="1">$K$135-EFEITO!$M$135*EFEITO!$Z$135</f>
        <v>0</v>
      </c>
      <c r="O135" s="56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5" t="s">
        <v>28</v>
      </c>
      <c r="B136" s="35" t="s">
        <v>22</v>
      </c>
      <c r="C136" s="35" t="s">
        <v>23</v>
      </c>
      <c r="D136" s="35" t="s">
        <v>24</v>
      </c>
      <c r="E136" s="35" t="s">
        <v>24</v>
      </c>
      <c r="F136" s="35" t="s">
        <v>25</v>
      </c>
      <c r="G136" s="35" t="s">
        <v>25</v>
      </c>
      <c r="H136" s="35" t="s">
        <v>25</v>
      </c>
      <c r="I136" s="55">
        <v>44440</v>
      </c>
      <c r="J136" s="56">
        <f>EFEITO!$J$136*EFEITO!$Y$136</f>
        <v>0</v>
      </c>
      <c r="K136" s="56">
        <f ca="1">EFEITO!$L$136*EFEITO!$Z$136</f>
        <v>1329.2154827142851</v>
      </c>
      <c r="L136" s="56">
        <f>EFEITO!$N$136*EFEITO!$AA$136</f>
        <v>737.36453081794741</v>
      </c>
      <c r="M136" s="56">
        <f>$J$136-EFEITO!$K$136*EFEITO!$Y$136</f>
        <v>0</v>
      </c>
      <c r="N136" s="56">
        <f ca="1">$K$136-EFEITO!$M$136*EFEITO!$Z$136</f>
        <v>0</v>
      </c>
      <c r="O136" s="56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5" t="s">
        <v>21</v>
      </c>
      <c r="B137" s="35" t="s">
        <v>22</v>
      </c>
      <c r="C137" s="35" t="s">
        <v>23</v>
      </c>
      <c r="D137" s="35" t="s">
        <v>24</v>
      </c>
      <c r="E137" s="35" t="s">
        <v>24</v>
      </c>
      <c r="F137" s="35" t="s">
        <v>25</v>
      </c>
      <c r="G137" s="35" t="s">
        <v>25</v>
      </c>
      <c r="H137" s="35" t="s">
        <v>25</v>
      </c>
      <c r="I137" s="55">
        <v>44470</v>
      </c>
      <c r="J137" s="56">
        <f>EFEITO!$J$137*EFEITO!$Y$137</f>
        <v>0</v>
      </c>
      <c r="K137" s="56">
        <f ca="1">EFEITO!$L$137*EFEITO!$Z$137</f>
        <v>197440.66810033741</v>
      </c>
      <c r="L137" s="56">
        <f>EFEITO!$N$137*EFEITO!$AA$137</f>
        <v>109527.57283634577</v>
      </c>
      <c r="M137" s="56">
        <f>$J$137-EFEITO!$K$137*EFEITO!$Y$137</f>
        <v>0</v>
      </c>
      <c r="N137" s="56">
        <f ca="1">$K$137-EFEITO!$M$137*EFEITO!$Z$137</f>
        <v>0</v>
      </c>
      <c r="O137" s="56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5" t="s">
        <v>27</v>
      </c>
      <c r="B138" s="35" t="s">
        <v>22</v>
      </c>
      <c r="C138" s="35" t="s">
        <v>23</v>
      </c>
      <c r="D138" s="35" t="s">
        <v>24</v>
      </c>
      <c r="E138" s="35" t="s">
        <v>24</v>
      </c>
      <c r="F138" s="35" t="s">
        <v>25</v>
      </c>
      <c r="G138" s="35" t="s">
        <v>25</v>
      </c>
      <c r="H138" s="35" t="s">
        <v>25</v>
      </c>
      <c r="I138" s="55">
        <v>44470</v>
      </c>
      <c r="J138" s="56">
        <f>EFEITO!$J$138*EFEITO!$Y$138</f>
        <v>0</v>
      </c>
      <c r="K138" s="56">
        <f ca="1">EFEITO!$L$138*EFEITO!$Z$138</f>
        <v>-53.867440153810023</v>
      </c>
      <c r="L138" s="56">
        <f>EFEITO!$N$138*EFEITO!$AA$138</f>
        <v>-29.882242760420652</v>
      </c>
      <c r="M138" s="56">
        <f>$J$138-EFEITO!$K$138*EFEITO!$Y$138</f>
        <v>0</v>
      </c>
      <c r="N138" s="56">
        <f ca="1">$K$138-EFEITO!$M$138*EFEITO!$Z$138</f>
        <v>0</v>
      </c>
      <c r="O138" s="56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5" t="s">
        <v>28</v>
      </c>
      <c r="B139" s="35" t="s">
        <v>22</v>
      </c>
      <c r="C139" s="35" t="s">
        <v>23</v>
      </c>
      <c r="D139" s="35" t="s">
        <v>24</v>
      </c>
      <c r="E139" s="35" t="s">
        <v>24</v>
      </c>
      <c r="F139" s="35" t="s">
        <v>25</v>
      </c>
      <c r="G139" s="35" t="s">
        <v>25</v>
      </c>
      <c r="H139" s="35" t="s">
        <v>25</v>
      </c>
      <c r="I139" s="55">
        <v>44470</v>
      </c>
      <c r="J139" s="56">
        <f>EFEITO!$J$139*EFEITO!$Y$139</f>
        <v>0</v>
      </c>
      <c r="K139" s="56">
        <f ca="1">EFEITO!$L$139*EFEITO!$Z$139</f>
        <v>1561.1851799532149</v>
      </c>
      <c r="L139" s="56">
        <f>EFEITO!$N$139*EFEITO!$AA$139</f>
        <v>866.04662126372284</v>
      </c>
      <c r="M139" s="56">
        <f>$J$139-EFEITO!$K$139*EFEITO!$Y$139</f>
        <v>0</v>
      </c>
      <c r="N139" s="56">
        <f ca="1">$K$139-EFEITO!$M$139*EFEITO!$Z$139</f>
        <v>0</v>
      </c>
      <c r="O139" s="56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5" t="s">
        <v>21</v>
      </c>
      <c r="B140" s="35" t="s">
        <v>22</v>
      </c>
      <c r="C140" s="35" t="s">
        <v>23</v>
      </c>
      <c r="D140" s="35" t="s">
        <v>24</v>
      </c>
      <c r="E140" s="35" t="s">
        <v>24</v>
      </c>
      <c r="F140" s="35" t="s">
        <v>25</v>
      </c>
      <c r="G140" s="35" t="s">
        <v>25</v>
      </c>
      <c r="H140" s="35" t="s">
        <v>25</v>
      </c>
      <c r="I140" s="55">
        <v>44501</v>
      </c>
      <c r="J140" s="56">
        <f>EFEITO!$J$140*EFEITO!$Y$140</f>
        <v>0</v>
      </c>
      <c r="K140" s="56">
        <f ca="1">EFEITO!$L$140*EFEITO!$Z$140</f>
        <v>208677.61023332365</v>
      </c>
      <c r="L140" s="56">
        <f>EFEITO!$N$140*EFEITO!$AA$140</f>
        <v>115761.11635992723</v>
      </c>
      <c r="M140" s="56">
        <f>$J$140-EFEITO!$K$140*EFEITO!$Y$140</f>
        <v>0</v>
      </c>
      <c r="N140" s="56">
        <f ca="1">$K$140-EFEITO!$M$140*EFEITO!$Z$140</f>
        <v>0</v>
      </c>
      <c r="O140" s="56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5" t="s">
        <v>27</v>
      </c>
      <c r="B141" s="35" t="s">
        <v>22</v>
      </c>
      <c r="C141" s="35" t="s">
        <v>23</v>
      </c>
      <c r="D141" s="35" t="s">
        <v>24</v>
      </c>
      <c r="E141" s="35" t="s">
        <v>24</v>
      </c>
      <c r="F141" s="35" t="s">
        <v>25</v>
      </c>
      <c r="G141" s="35" t="s">
        <v>25</v>
      </c>
      <c r="H141" s="35" t="s">
        <v>25</v>
      </c>
      <c r="I141" s="55">
        <v>44501</v>
      </c>
      <c r="J141" s="56">
        <f>EFEITO!$J$141*EFEITO!$Y$141</f>
        <v>0</v>
      </c>
      <c r="K141" s="56">
        <f ca="1">EFEITO!$L$141*EFEITO!$Z$141</f>
        <v>-552.74787689360016</v>
      </c>
      <c r="L141" s="56">
        <f>EFEITO!$N$141*EFEITO!$AA$141</f>
        <v>-306.62950003710921</v>
      </c>
      <c r="M141" s="56">
        <f>$J$141-EFEITO!$K$141*EFEITO!$Y$141</f>
        <v>0</v>
      </c>
      <c r="N141" s="56">
        <f ca="1">$K$141-EFEITO!$M$141*EFEITO!$Z$141</f>
        <v>0</v>
      </c>
      <c r="O141" s="56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5" t="s">
        <v>28</v>
      </c>
      <c r="B142" s="35" t="s">
        <v>22</v>
      </c>
      <c r="C142" s="35" t="s">
        <v>23</v>
      </c>
      <c r="D142" s="35" t="s">
        <v>24</v>
      </c>
      <c r="E142" s="35" t="s">
        <v>24</v>
      </c>
      <c r="F142" s="35" t="s">
        <v>25</v>
      </c>
      <c r="G142" s="35" t="s">
        <v>25</v>
      </c>
      <c r="H142" s="35" t="s">
        <v>25</v>
      </c>
      <c r="I142" s="55">
        <v>44501</v>
      </c>
      <c r="J142" s="56">
        <f>EFEITO!$J$142*EFEITO!$Y$142</f>
        <v>0</v>
      </c>
      <c r="K142" s="56">
        <f ca="1">EFEITO!$L$142*EFEITO!$Z$142</f>
        <v>1371.435908780785</v>
      </c>
      <c r="L142" s="56">
        <f>EFEITO!$N$142*EFEITO!$AA$142</f>
        <v>760.78574811665555</v>
      </c>
      <c r="M142" s="56">
        <f>$J$142-EFEITO!$K$142*EFEITO!$Y$142</f>
        <v>0</v>
      </c>
      <c r="N142" s="56">
        <f ca="1">$K$142-EFEITO!$M$142*EFEITO!$Z$142</f>
        <v>0</v>
      </c>
      <c r="O142" s="56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5" t="s">
        <v>21</v>
      </c>
      <c r="B143" s="35" t="s">
        <v>22</v>
      </c>
      <c r="C143" s="35" t="s">
        <v>23</v>
      </c>
      <c r="D143" s="35" t="s">
        <v>24</v>
      </c>
      <c r="E143" s="35" t="s">
        <v>24</v>
      </c>
      <c r="F143" s="35" t="s">
        <v>25</v>
      </c>
      <c r="G143" s="35" t="s">
        <v>25</v>
      </c>
      <c r="H143" s="35" t="s">
        <v>25</v>
      </c>
      <c r="I143" s="55">
        <v>44531</v>
      </c>
      <c r="J143" s="56">
        <f>EFEITO!$J$143*EFEITO!$Y$143</f>
        <v>0</v>
      </c>
      <c r="K143" s="56">
        <f ca="1">EFEITO!$L$143*EFEITO!$Z$143</f>
        <v>214724.35171365223</v>
      </c>
      <c r="L143" s="56">
        <f>EFEITO!$N$143*EFEITO!$AA$143</f>
        <v>119115.46541213299</v>
      </c>
      <c r="M143" s="56">
        <f>$J$143-EFEITO!$K$143*EFEITO!$Y$143</f>
        <v>0</v>
      </c>
      <c r="N143" s="56">
        <f ca="1">$K$143-EFEITO!$M$143*EFEITO!$Z$143</f>
        <v>0</v>
      </c>
      <c r="O143" s="56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5" t="s">
        <v>27</v>
      </c>
      <c r="B144" s="35" t="s">
        <v>22</v>
      </c>
      <c r="C144" s="35" t="s">
        <v>23</v>
      </c>
      <c r="D144" s="35" t="s">
        <v>24</v>
      </c>
      <c r="E144" s="35" t="s">
        <v>24</v>
      </c>
      <c r="F144" s="35" t="s">
        <v>25</v>
      </c>
      <c r="G144" s="35" t="s">
        <v>25</v>
      </c>
      <c r="H144" s="35" t="s">
        <v>25</v>
      </c>
      <c r="I144" s="55">
        <v>44531</v>
      </c>
      <c r="J144" s="56">
        <f>EFEITO!$J$144*EFEITO!$Y$144</f>
        <v>0</v>
      </c>
      <c r="K144" s="56">
        <f ca="1">EFEITO!$L$144*EFEITO!$Z$144</f>
        <v>621.17408465654796</v>
      </c>
      <c r="L144" s="56">
        <f>EFEITO!$N$144*EFEITO!$AA$144</f>
        <v>344.5880246246706</v>
      </c>
      <c r="M144" s="56">
        <f>$J$144-EFEITO!$K$144*EFEITO!$Y$144</f>
        <v>0</v>
      </c>
      <c r="N144" s="56">
        <f ca="1">$K$144-EFEITO!$M$144*EFEITO!$Z$144</f>
        <v>0</v>
      </c>
      <c r="O144" s="56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5" t="s">
        <v>28</v>
      </c>
      <c r="B145" s="35" t="s">
        <v>22</v>
      </c>
      <c r="C145" s="35" t="s">
        <v>23</v>
      </c>
      <c r="D145" s="35" t="s">
        <v>24</v>
      </c>
      <c r="E145" s="35" t="s">
        <v>24</v>
      </c>
      <c r="F145" s="35" t="s">
        <v>25</v>
      </c>
      <c r="G145" s="35" t="s">
        <v>25</v>
      </c>
      <c r="H145" s="35" t="s">
        <v>25</v>
      </c>
      <c r="I145" s="55">
        <v>44531</v>
      </c>
      <c r="J145" s="56">
        <f>EFEITO!$J$145*EFEITO!$Y$145</f>
        <v>0</v>
      </c>
      <c r="K145" s="56">
        <f ca="1">EFEITO!$L$145*EFEITO!$Z$145</f>
        <v>1157.4220249264586</v>
      </c>
      <c r="L145" s="56">
        <f>EFEITO!$N$145*EFEITO!$AA$145</f>
        <v>642.06440525768687</v>
      </c>
      <c r="M145" s="56">
        <f>$J$145-EFEITO!$K$145*EFEITO!$Y$145</f>
        <v>0</v>
      </c>
      <c r="N145" s="56">
        <f ca="1">$K$145-EFEITO!$M$145*EFEITO!$Z$145</f>
        <v>0</v>
      </c>
      <c r="O145" s="56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5" t="s">
        <v>21</v>
      </c>
      <c r="B146" s="35" t="s">
        <v>22</v>
      </c>
      <c r="C146" s="35" t="s">
        <v>23</v>
      </c>
      <c r="D146" s="35" t="s">
        <v>24</v>
      </c>
      <c r="E146" s="35" t="s">
        <v>24</v>
      </c>
      <c r="F146" s="35" t="s">
        <v>25</v>
      </c>
      <c r="G146" s="35" t="s">
        <v>25</v>
      </c>
      <c r="H146" s="35" t="s">
        <v>25</v>
      </c>
      <c r="I146" s="55">
        <v>44562</v>
      </c>
      <c r="J146" s="56">
        <f>EFEITO!$J$146*EFEITO!$Y$146</f>
        <v>0</v>
      </c>
      <c r="K146" s="56">
        <f ca="1">EFEITO!$L$146*EFEITO!$Z$146</f>
        <v>262799.82882029359</v>
      </c>
      <c r="L146" s="56">
        <f>EFEITO!$N$146*EFEITO!$AA$146</f>
        <v>145784.69405232283</v>
      </c>
      <c r="M146" s="56">
        <f>$J$146-EFEITO!$K$146*EFEITO!$Y$146</f>
        <v>0</v>
      </c>
      <c r="N146" s="56">
        <f ca="1">$K$146-EFEITO!$M$146*EFEITO!$Z$146</f>
        <v>0</v>
      </c>
      <c r="O146" s="56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5" t="s">
        <v>27</v>
      </c>
      <c r="B147" s="35" t="s">
        <v>22</v>
      </c>
      <c r="C147" s="35" t="s">
        <v>23</v>
      </c>
      <c r="D147" s="35" t="s">
        <v>24</v>
      </c>
      <c r="E147" s="35" t="s">
        <v>24</v>
      </c>
      <c r="F147" s="35" t="s">
        <v>25</v>
      </c>
      <c r="G147" s="35" t="s">
        <v>25</v>
      </c>
      <c r="H147" s="35" t="s">
        <v>25</v>
      </c>
      <c r="I147" s="55">
        <v>44562</v>
      </c>
      <c r="J147" s="56">
        <f>EFEITO!$J$147*EFEITO!$Y$147</f>
        <v>0</v>
      </c>
      <c r="K147" s="56">
        <f ca="1">EFEITO!$L$147*EFEITO!$Z$147</f>
        <v>-234.39615850711928</v>
      </c>
      <c r="L147" s="56">
        <f>EFEITO!$N$147*EFEITO!$AA$147</f>
        <v>-130.02813741696554</v>
      </c>
      <c r="M147" s="56">
        <f>$J$147-EFEITO!$K$147*EFEITO!$Y$147</f>
        <v>0</v>
      </c>
      <c r="N147" s="56">
        <f ca="1">$K$147-EFEITO!$M$147*EFEITO!$Z$147</f>
        <v>0</v>
      </c>
      <c r="O147" s="56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5" t="s">
        <v>28</v>
      </c>
      <c r="B148" s="35" t="s">
        <v>22</v>
      </c>
      <c r="C148" s="35" t="s">
        <v>23</v>
      </c>
      <c r="D148" s="35" t="s">
        <v>24</v>
      </c>
      <c r="E148" s="35" t="s">
        <v>24</v>
      </c>
      <c r="F148" s="35" t="s">
        <v>25</v>
      </c>
      <c r="G148" s="35" t="s">
        <v>25</v>
      </c>
      <c r="H148" s="35" t="s">
        <v>25</v>
      </c>
      <c r="I148" s="55">
        <v>44562</v>
      </c>
      <c r="J148" s="56">
        <f>EFEITO!$J$148*EFEITO!$Y$148</f>
        <v>0</v>
      </c>
      <c r="K148" s="56">
        <f ca="1">EFEITO!$L$148*EFEITO!$Z$148</f>
        <v>1948.4483983562814</v>
      </c>
      <c r="L148" s="56">
        <f>EFEITO!$N$148*EFEITO!$AA$148</f>
        <v>1080.8757178656658</v>
      </c>
      <c r="M148" s="56">
        <f>$J$148-EFEITO!$K$148*EFEITO!$Y$148</f>
        <v>0</v>
      </c>
      <c r="N148" s="56">
        <f ca="1">$K$148-EFEITO!$M$148*EFEITO!$Z$148</f>
        <v>0</v>
      </c>
      <c r="O148" s="56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5" t="s">
        <v>28</v>
      </c>
      <c r="B149" s="35" t="s">
        <v>22</v>
      </c>
      <c r="C149" s="35" t="s">
        <v>23</v>
      </c>
      <c r="D149" s="35" t="s">
        <v>24</v>
      </c>
      <c r="E149" s="35" t="s">
        <v>24</v>
      </c>
      <c r="F149" s="35" t="s">
        <v>25</v>
      </c>
      <c r="G149" s="35" t="s">
        <v>25</v>
      </c>
      <c r="H149" s="35" t="s">
        <v>25</v>
      </c>
      <c r="I149" s="55">
        <v>44562</v>
      </c>
      <c r="J149" s="56">
        <f>EFEITO!$J$149*EFEITO!$Y$149</f>
        <v>0</v>
      </c>
      <c r="K149" s="56">
        <f ca="1">EFEITO!$L$149*EFEITO!$Z$149</f>
        <v>-198.48453173791259</v>
      </c>
      <c r="L149" s="56">
        <f>EFEITO!$N$149*EFEITO!$AA$149</f>
        <v>-110.10664224335176</v>
      </c>
      <c r="M149" s="56">
        <f>$J$149-EFEITO!$K$149*EFEITO!$Y$149</f>
        <v>0</v>
      </c>
      <c r="N149" s="56">
        <f ca="1">$K$149-EFEITO!$M$149*EFEITO!$Z$149</f>
        <v>0</v>
      </c>
      <c r="O149" s="56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5" t="s">
        <v>21</v>
      </c>
      <c r="B150" s="35" t="s">
        <v>22</v>
      </c>
      <c r="C150" s="35" t="s">
        <v>23</v>
      </c>
      <c r="D150" s="35" t="s">
        <v>24</v>
      </c>
      <c r="E150" s="35" t="s">
        <v>24</v>
      </c>
      <c r="F150" s="35" t="s">
        <v>25</v>
      </c>
      <c r="G150" s="35" t="s">
        <v>25</v>
      </c>
      <c r="H150" s="35" t="s">
        <v>25</v>
      </c>
      <c r="I150" s="55">
        <v>44593</v>
      </c>
      <c r="J150" s="56">
        <f>EFEITO!$J$150*EFEITO!$Y$150</f>
        <v>0</v>
      </c>
      <c r="K150" s="56">
        <f ca="1">EFEITO!$L$150*EFEITO!$Z$150</f>
        <v>225702.63307544944</v>
      </c>
      <c r="L150" s="56">
        <f>EFEITO!$N$150*EFEITO!$AA$150</f>
        <v>125205.52032858558</v>
      </c>
      <c r="M150" s="56">
        <f>$J$150-EFEITO!$K$150*EFEITO!$Y$150</f>
        <v>0</v>
      </c>
      <c r="N150" s="56">
        <f ca="1">$K$150-EFEITO!$M$150*EFEITO!$Z$150</f>
        <v>0</v>
      </c>
      <c r="O150" s="56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5" t="s">
        <v>27</v>
      </c>
      <c r="B151" s="35" t="s">
        <v>22</v>
      </c>
      <c r="C151" s="35" t="s">
        <v>23</v>
      </c>
      <c r="D151" s="35" t="s">
        <v>24</v>
      </c>
      <c r="E151" s="35" t="s">
        <v>24</v>
      </c>
      <c r="F151" s="35" t="s">
        <v>25</v>
      </c>
      <c r="G151" s="35" t="s">
        <v>25</v>
      </c>
      <c r="H151" s="35" t="s">
        <v>25</v>
      </c>
      <c r="I151" s="55">
        <v>44593</v>
      </c>
      <c r="J151" s="56">
        <f>EFEITO!$J$151*EFEITO!$Y$151</f>
        <v>0</v>
      </c>
      <c r="K151" s="56">
        <f ca="1">EFEITO!$L$151*EFEITO!$Z$151</f>
        <v>-388.23380291034255</v>
      </c>
      <c r="L151" s="56">
        <f>EFEITO!$N$151*EFEITO!$AA$151</f>
        <v>-215.36751539041913</v>
      </c>
      <c r="M151" s="56">
        <f>$J$151-EFEITO!$K$151*EFEITO!$Y$151</f>
        <v>0</v>
      </c>
      <c r="N151" s="56">
        <f ca="1">$K$151-EFEITO!$M$151*EFEITO!$Z$151</f>
        <v>0</v>
      </c>
      <c r="O151" s="56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5" t="s">
        <v>28</v>
      </c>
      <c r="B152" s="35" t="s">
        <v>22</v>
      </c>
      <c r="C152" s="35" t="s">
        <v>23</v>
      </c>
      <c r="D152" s="35" t="s">
        <v>24</v>
      </c>
      <c r="E152" s="35" t="s">
        <v>24</v>
      </c>
      <c r="F152" s="35" t="s">
        <v>25</v>
      </c>
      <c r="G152" s="35" t="s">
        <v>25</v>
      </c>
      <c r="H152" s="35" t="s">
        <v>25</v>
      </c>
      <c r="I152" s="55">
        <v>44593</v>
      </c>
      <c r="J152" s="56">
        <f>EFEITO!$J$152*EFEITO!$Y$152</f>
        <v>0</v>
      </c>
      <c r="K152" s="56">
        <f ca="1">EFEITO!$L$152*EFEITO!$Z$152</f>
        <v>1867.8898842523854</v>
      </c>
      <c r="L152" s="56">
        <f>EFEITO!$N$152*EFEITO!$AA$152</f>
        <v>1036.186958422154</v>
      </c>
      <c r="M152" s="56">
        <f>$J$152-EFEITO!$K$152*EFEITO!$Y$152</f>
        <v>0</v>
      </c>
      <c r="N152" s="56">
        <f ca="1">$K$152-EFEITO!$M$152*EFEITO!$Z$152</f>
        <v>0</v>
      </c>
      <c r="O152" s="56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5" t="s">
        <v>21</v>
      </c>
      <c r="B153" s="35" t="s">
        <v>22</v>
      </c>
      <c r="C153" s="35" t="s">
        <v>23</v>
      </c>
      <c r="D153" s="35" t="s">
        <v>24</v>
      </c>
      <c r="E153" s="35" t="s">
        <v>24</v>
      </c>
      <c r="F153" s="35" t="s">
        <v>25</v>
      </c>
      <c r="G153" s="35" t="s">
        <v>25</v>
      </c>
      <c r="H153" s="35" t="s">
        <v>25</v>
      </c>
      <c r="I153" s="55">
        <v>44621</v>
      </c>
      <c r="J153" s="56">
        <f>EFEITO!$J$153*EFEITO!$Y$153</f>
        <v>0</v>
      </c>
      <c r="K153" s="56">
        <f ca="1">EFEITO!$L$153*EFEITO!$Z$153</f>
        <v>243543.91748819425</v>
      </c>
      <c r="L153" s="56">
        <f>EFEITO!$N$153*EFEITO!$AA$153</f>
        <v>135102.73449835231</v>
      </c>
      <c r="M153" s="56">
        <f>$J$153-EFEITO!$K$153*EFEITO!$Y$153</f>
        <v>0</v>
      </c>
      <c r="N153" s="56">
        <f ca="1">$K$153-EFEITO!$M$153*EFEITO!$Z$153</f>
        <v>0</v>
      </c>
      <c r="O153" s="56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5" t="s">
        <v>21</v>
      </c>
      <c r="B154" s="35" t="s">
        <v>22</v>
      </c>
      <c r="C154" s="35" t="s">
        <v>23</v>
      </c>
      <c r="D154" s="35" t="s">
        <v>24</v>
      </c>
      <c r="E154" s="35" t="s">
        <v>24</v>
      </c>
      <c r="F154" s="35" t="s">
        <v>25</v>
      </c>
      <c r="G154" s="35" t="s">
        <v>25</v>
      </c>
      <c r="H154" s="35" t="s">
        <v>25</v>
      </c>
      <c r="I154" s="55">
        <v>44652</v>
      </c>
      <c r="J154" s="56">
        <f>EFEITO!$J$154*EFEITO!$Y$154</f>
        <v>0</v>
      </c>
      <c r="K154" s="56">
        <f ca="1">EFEITO!$L$154*EFEITO!$Z$154</f>
        <v>220630.35844042583</v>
      </c>
      <c r="L154" s="56">
        <f>EFEITO!$N$154*EFEITO!$AA$154</f>
        <v>122391.74374000976</v>
      </c>
      <c r="M154" s="56">
        <f>$J$154-EFEITO!$K$154*EFEITO!$Y$154</f>
        <v>0</v>
      </c>
      <c r="N154" s="56">
        <f ca="1">$K$154-EFEITO!$M$154*EFEITO!$Z$154</f>
        <v>0</v>
      </c>
      <c r="O154" s="56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5" t="s">
        <v>27</v>
      </c>
      <c r="B155" s="35" t="s">
        <v>22</v>
      </c>
      <c r="C155" s="35" t="s">
        <v>23</v>
      </c>
      <c r="D155" s="35" t="s">
        <v>24</v>
      </c>
      <c r="E155" s="35" t="s">
        <v>24</v>
      </c>
      <c r="F155" s="35" t="s">
        <v>25</v>
      </c>
      <c r="G155" s="35" t="s">
        <v>25</v>
      </c>
      <c r="H155" s="35" t="s">
        <v>25</v>
      </c>
      <c r="I155" s="55">
        <v>44652</v>
      </c>
      <c r="J155" s="56">
        <f>EFEITO!$J$155*EFEITO!$Y$155</f>
        <v>0</v>
      </c>
      <c r="K155" s="56">
        <f ca="1">EFEITO!$L$155*EFEITO!$Z$155</f>
        <v>-271.76366203723978</v>
      </c>
      <c r="L155" s="56">
        <f>EFEITO!$N$155*EFEITO!$AA$155</f>
        <v>-150.75726077329338</v>
      </c>
      <c r="M155" s="56">
        <f>$J$155-EFEITO!$K$155*EFEITO!$Y$155</f>
        <v>0</v>
      </c>
      <c r="N155" s="56">
        <f ca="1">$K$155-EFEITO!$M$155*EFEITO!$Z$155</f>
        <v>0</v>
      </c>
      <c r="O155" s="56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5" t="s">
        <v>28</v>
      </c>
      <c r="B156" s="35" t="s">
        <v>22</v>
      </c>
      <c r="C156" s="35" t="s">
        <v>23</v>
      </c>
      <c r="D156" s="35" t="s">
        <v>24</v>
      </c>
      <c r="E156" s="35" t="s">
        <v>24</v>
      </c>
      <c r="F156" s="35" t="s">
        <v>25</v>
      </c>
      <c r="G156" s="35" t="s">
        <v>25</v>
      </c>
      <c r="H156" s="35" t="s">
        <v>25</v>
      </c>
      <c r="I156" s="55">
        <v>44652</v>
      </c>
      <c r="J156" s="56">
        <f>EFEITO!$J$156*EFEITO!$Y$156</f>
        <v>0</v>
      </c>
      <c r="K156" s="56">
        <f ca="1">EFEITO!$L$156*EFEITO!$Z$156</f>
        <v>2173.138711790642</v>
      </c>
      <c r="L156" s="56">
        <f>EFEITO!$N$156*EFEITO!$AA$156</f>
        <v>1205.519667397871</v>
      </c>
      <c r="M156" s="56">
        <f>$J$156-EFEITO!$K$156*EFEITO!$Y$156</f>
        <v>0</v>
      </c>
      <c r="N156" s="56">
        <f ca="1">$K$156-EFEITO!$M$156*EFEITO!$Z$156</f>
        <v>0</v>
      </c>
      <c r="O156" s="56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5" t="s">
        <v>21</v>
      </c>
      <c r="B157" s="35" t="s">
        <v>22</v>
      </c>
      <c r="C157" s="35" t="s">
        <v>23</v>
      </c>
      <c r="D157" s="35" t="s">
        <v>24</v>
      </c>
      <c r="E157" s="35" t="s">
        <v>24</v>
      </c>
      <c r="F157" s="35" t="s">
        <v>25</v>
      </c>
      <c r="G157" s="35" t="s">
        <v>25</v>
      </c>
      <c r="H157" s="35" t="s">
        <v>25</v>
      </c>
      <c r="I157" s="55">
        <v>44682</v>
      </c>
      <c r="J157" s="56">
        <f>EFEITO!$J$157*EFEITO!$Y$157</f>
        <v>0</v>
      </c>
      <c r="K157" s="56">
        <f ca="1">EFEITO!$L$157*EFEITO!$Z$157</f>
        <v>201199.74189701682</v>
      </c>
      <c r="L157" s="56">
        <f>EFEITO!$N$157*EFEITO!$AA$157</f>
        <v>111612.86880411352</v>
      </c>
      <c r="M157" s="56">
        <f>$J$157-EFEITO!$K$157*EFEITO!$Y$157</f>
        <v>0</v>
      </c>
      <c r="N157" s="56">
        <f ca="1">$K$157-EFEITO!$M$157*EFEITO!$Z$157</f>
        <v>0</v>
      </c>
      <c r="O157" s="56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5" t="s">
        <v>27</v>
      </c>
      <c r="B158" s="35" t="s">
        <v>22</v>
      </c>
      <c r="C158" s="35" t="s">
        <v>23</v>
      </c>
      <c r="D158" s="35" t="s">
        <v>24</v>
      </c>
      <c r="E158" s="35" t="s">
        <v>24</v>
      </c>
      <c r="F158" s="35" t="s">
        <v>25</v>
      </c>
      <c r="G158" s="35" t="s">
        <v>25</v>
      </c>
      <c r="H158" s="35" t="s">
        <v>25</v>
      </c>
      <c r="I158" s="55">
        <v>44682</v>
      </c>
      <c r="J158" s="56">
        <f>EFEITO!$J$158*EFEITO!$Y$158</f>
        <v>0</v>
      </c>
      <c r="K158" s="56">
        <f ca="1">EFEITO!$L$158*EFEITO!$Z$158</f>
        <v>-531.39501773353129</v>
      </c>
      <c r="L158" s="56">
        <f>EFEITO!$N$158*EFEITO!$AA$158</f>
        <v>-294.78428669063618</v>
      </c>
      <c r="M158" s="56">
        <f>$J$158-EFEITO!$K$158*EFEITO!$Y$158</f>
        <v>0</v>
      </c>
      <c r="N158" s="56">
        <f ca="1">$K$158-EFEITO!$M$158*EFEITO!$Z$158</f>
        <v>0</v>
      </c>
      <c r="O158" s="56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5" t="s">
        <v>28</v>
      </c>
      <c r="B159" s="35" t="s">
        <v>22</v>
      </c>
      <c r="C159" s="35" t="s">
        <v>23</v>
      </c>
      <c r="D159" s="35" t="s">
        <v>24</v>
      </c>
      <c r="E159" s="35" t="s">
        <v>24</v>
      </c>
      <c r="F159" s="35" t="s">
        <v>25</v>
      </c>
      <c r="G159" s="35" t="s">
        <v>25</v>
      </c>
      <c r="H159" s="35" t="s">
        <v>25</v>
      </c>
      <c r="I159" s="55">
        <v>44682</v>
      </c>
      <c r="J159" s="56">
        <f>EFEITO!$J$159*EFEITO!$Y$159</f>
        <v>0</v>
      </c>
      <c r="K159" s="56">
        <f ca="1">EFEITO!$L$159*EFEITO!$Z$159</f>
        <v>2144.9917610796424</v>
      </c>
      <c r="L159" s="56">
        <f>EFEITO!$N$159*EFEITO!$AA$159</f>
        <v>1189.9055225320656</v>
      </c>
      <c r="M159" s="56">
        <f>$J$159-EFEITO!$K$159*EFEITO!$Y$159</f>
        <v>0</v>
      </c>
      <c r="N159" s="56">
        <f ca="1">$K$159-EFEITO!$M$159*EFEITO!$Z$159</f>
        <v>0</v>
      </c>
      <c r="O159" s="56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5" t="s">
        <v>21</v>
      </c>
      <c r="B160" s="35" t="s">
        <v>22</v>
      </c>
      <c r="C160" s="35" t="s">
        <v>23</v>
      </c>
      <c r="D160" s="35" t="s">
        <v>24</v>
      </c>
      <c r="E160" s="35" t="s">
        <v>24</v>
      </c>
      <c r="F160" s="35" t="s">
        <v>25</v>
      </c>
      <c r="G160" s="35" t="s">
        <v>25</v>
      </c>
      <c r="H160" s="35" t="s">
        <v>25</v>
      </c>
      <c r="I160" s="55">
        <v>44713</v>
      </c>
      <c r="J160" s="56">
        <f>EFEITO!$J$160*EFEITO!$Y$160</f>
        <v>0</v>
      </c>
      <c r="K160" s="56">
        <f ca="1">EFEITO!$L$160*EFEITO!$Z$160</f>
        <v>181669.64044161202</v>
      </c>
      <c r="L160" s="56">
        <f>EFEITO!$N$160*EFEITO!$AA$160</f>
        <v>100778.80594239848</v>
      </c>
      <c r="M160" s="56">
        <f>$J$160-EFEITO!$K$160*EFEITO!$Y$160</f>
        <v>0</v>
      </c>
      <c r="N160" s="56">
        <f ca="1">$K$160-EFEITO!$M$160*EFEITO!$Z$160</f>
        <v>0</v>
      </c>
      <c r="O160" s="56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5" t="s">
        <v>27</v>
      </c>
      <c r="B161" s="35" t="s">
        <v>22</v>
      </c>
      <c r="C161" s="35" t="s">
        <v>23</v>
      </c>
      <c r="D161" s="35" t="s">
        <v>24</v>
      </c>
      <c r="E161" s="35" t="s">
        <v>24</v>
      </c>
      <c r="F161" s="35" t="s">
        <v>25</v>
      </c>
      <c r="G161" s="35" t="s">
        <v>25</v>
      </c>
      <c r="H161" s="35" t="s">
        <v>25</v>
      </c>
      <c r="I161" s="55">
        <v>44713</v>
      </c>
      <c r="J161" s="56">
        <f>EFEITO!$J$161*EFEITO!$Y$161</f>
        <v>0</v>
      </c>
      <c r="K161" s="56">
        <f ca="1">EFEITO!$L$161*EFEITO!$Z$161</f>
        <v>-804.12926427804689</v>
      </c>
      <c r="L161" s="56">
        <f>EFEITO!$N$161*EFEITO!$AA$161</f>
        <v>-446.0799662524056</v>
      </c>
      <c r="M161" s="56">
        <f>$J$161-EFEITO!$K$161*EFEITO!$Y$161</f>
        <v>0</v>
      </c>
      <c r="N161" s="56">
        <f ca="1">$K$161-EFEITO!$M$161*EFEITO!$Z$161</f>
        <v>0</v>
      </c>
      <c r="O161" s="56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5" t="s">
        <v>28</v>
      </c>
      <c r="B162" s="35" t="s">
        <v>22</v>
      </c>
      <c r="C162" s="35" t="s">
        <v>23</v>
      </c>
      <c r="D162" s="35" t="s">
        <v>24</v>
      </c>
      <c r="E162" s="35" t="s">
        <v>24</v>
      </c>
      <c r="F162" s="35" t="s">
        <v>25</v>
      </c>
      <c r="G162" s="35" t="s">
        <v>25</v>
      </c>
      <c r="H162" s="35" t="s">
        <v>25</v>
      </c>
      <c r="I162" s="55">
        <v>44713</v>
      </c>
      <c r="J162" s="56">
        <f>EFEITO!$J$162*EFEITO!$Y$162</f>
        <v>0</v>
      </c>
      <c r="K162" s="56">
        <f ca="1">EFEITO!$L$162*EFEITO!$Z$162</f>
        <v>2356.0938914121411</v>
      </c>
      <c r="L162" s="56">
        <f>EFEITO!$N$162*EFEITO!$AA$162</f>
        <v>1307.011609025606</v>
      </c>
      <c r="M162" s="56">
        <f>$J$162-EFEITO!$K$162*EFEITO!$Y$162</f>
        <v>0</v>
      </c>
      <c r="N162" s="56">
        <f ca="1">$K$162-EFEITO!$M$162*EFEITO!$Z$162</f>
        <v>0</v>
      </c>
      <c r="O162" s="56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5" t="s">
        <v>21</v>
      </c>
      <c r="B163" s="35" t="s">
        <v>22</v>
      </c>
      <c r="C163" s="35" t="s">
        <v>23</v>
      </c>
      <c r="D163" s="35" t="s">
        <v>24</v>
      </c>
      <c r="E163" s="35" t="s">
        <v>24</v>
      </c>
      <c r="F163" s="35" t="s">
        <v>25</v>
      </c>
      <c r="G163" s="35" t="s">
        <v>25</v>
      </c>
      <c r="H163" s="35" t="s">
        <v>25</v>
      </c>
      <c r="I163" s="55">
        <v>44743</v>
      </c>
      <c r="J163" s="56">
        <f>EFEITO!$J$163*EFEITO!$Y$163</f>
        <v>0</v>
      </c>
      <c r="K163" s="56">
        <f ca="1">EFEITO!$L$163*EFEITO!$Z$163</f>
        <v>189864.28543654209</v>
      </c>
      <c r="L163" s="56">
        <f>EFEITO!$N$163*EFEITO!$AA$163</f>
        <v>105324.67577350176</v>
      </c>
      <c r="M163" s="56">
        <f>$J$163-EFEITO!$K$163*EFEITO!$Y$163</f>
        <v>0</v>
      </c>
      <c r="N163" s="56">
        <f ca="1">$K$163-EFEITO!$M$163*EFEITO!$Z$163</f>
        <v>0</v>
      </c>
      <c r="O163" s="56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5" t="s">
        <v>27</v>
      </c>
      <c r="B164" s="35" t="s">
        <v>22</v>
      </c>
      <c r="C164" s="35" t="s">
        <v>23</v>
      </c>
      <c r="D164" s="35" t="s">
        <v>24</v>
      </c>
      <c r="E164" s="35" t="s">
        <v>24</v>
      </c>
      <c r="F164" s="35" t="s">
        <v>25</v>
      </c>
      <c r="G164" s="35" t="s">
        <v>25</v>
      </c>
      <c r="H164" s="35" t="s">
        <v>25</v>
      </c>
      <c r="I164" s="55">
        <v>44743</v>
      </c>
      <c r="J164" s="56">
        <f>EFEITO!$J$164*EFEITO!$Y$164</f>
        <v>0</v>
      </c>
      <c r="K164" s="56">
        <f ca="1">EFEITO!$L$164*EFEITO!$Z$164</f>
        <v>-183.44047187513684</v>
      </c>
      <c r="L164" s="56">
        <f>EFEITO!$N$164*EFEITO!$AA$164</f>
        <v>-101.76115102197303</v>
      </c>
      <c r="M164" s="56">
        <f>$J$164-EFEITO!$K$164*EFEITO!$Y$164</f>
        <v>0</v>
      </c>
      <c r="N164" s="56">
        <f ca="1">$K$164-EFEITO!$M$164*EFEITO!$Z$164</f>
        <v>0</v>
      </c>
      <c r="O164" s="56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5" t="s">
        <v>28</v>
      </c>
      <c r="B165" s="35" t="s">
        <v>22</v>
      </c>
      <c r="C165" s="35" t="s">
        <v>23</v>
      </c>
      <c r="D165" s="35" t="s">
        <v>24</v>
      </c>
      <c r="E165" s="35" t="s">
        <v>24</v>
      </c>
      <c r="F165" s="35" t="s">
        <v>25</v>
      </c>
      <c r="G165" s="35" t="s">
        <v>25</v>
      </c>
      <c r="H165" s="35" t="s">
        <v>25</v>
      </c>
      <c r="I165" s="55">
        <v>44743</v>
      </c>
      <c r="J165" s="56">
        <f>EFEITO!$J$165*EFEITO!$Y$165</f>
        <v>0</v>
      </c>
      <c r="K165" s="56">
        <f ca="1">EFEITO!$L$165*EFEITO!$Z$165</f>
        <v>2368.7114900067272</v>
      </c>
      <c r="L165" s="56">
        <f>EFEITO!$N$165*EFEITO!$AA$165</f>
        <v>1314.0110532757947</v>
      </c>
      <c r="M165" s="56">
        <f>$J$165-EFEITO!$K$165*EFEITO!$Y$165</f>
        <v>0</v>
      </c>
      <c r="N165" s="56">
        <f ca="1">$K$165-EFEITO!$M$165*EFEITO!$Z$165</f>
        <v>0</v>
      </c>
      <c r="O165" s="56">
        <f>$L$165-EFEITO!$O$165*EFEITO!$AA$165</f>
        <v>0</v>
      </c>
      <c r="P165" s="39"/>
      <c r="Q165" s="39"/>
      <c r="R165" s="39"/>
      <c r="S165" s="39"/>
      <c r="T165" s="39"/>
      <c r="U165" s="39"/>
      <c r="V165" s="39"/>
      <c r="W165" s="3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5" t="s">
        <v>21</v>
      </c>
      <c r="B166" s="35" t="s">
        <v>22</v>
      </c>
      <c r="C166" s="35" t="s">
        <v>23</v>
      </c>
      <c r="D166" s="35" t="s">
        <v>24</v>
      </c>
      <c r="E166" s="35" t="s">
        <v>24</v>
      </c>
      <c r="F166" s="35" t="s">
        <v>25</v>
      </c>
      <c r="G166" s="35" t="s">
        <v>25</v>
      </c>
      <c r="H166" s="35" t="s">
        <v>25</v>
      </c>
      <c r="I166" s="55">
        <v>44774</v>
      </c>
      <c r="J166" s="56">
        <f>EFEITO!$J$166*EFEITO!$Y$166</f>
        <v>0</v>
      </c>
      <c r="K166" s="56">
        <f ca="1">EFEITO!$L$166*EFEITO!$Z$166</f>
        <v>195785.33622317846</v>
      </c>
      <c r="L166" s="56">
        <f>EFEITO!$N$166*EFEITO!$AA$166</f>
        <v>108609.29959259988</v>
      </c>
      <c r="M166" s="56">
        <f>$J$166-EFEITO!$K$166*EFEITO!$Y$166</f>
        <v>0</v>
      </c>
      <c r="N166" s="56">
        <f ca="1">$K$166-EFEITO!$M$166*EFEITO!$Z$166</f>
        <v>0</v>
      </c>
      <c r="O166" s="56">
        <f>$L$166-EFEITO!$O$166*EFEITO!$AA$166</f>
        <v>0</v>
      </c>
      <c r="P166" s="39"/>
      <c r="Q166" s="39"/>
      <c r="R166" s="39"/>
      <c r="S166" s="39"/>
      <c r="T166" s="39"/>
      <c r="U166" s="39"/>
      <c r="V166" s="39"/>
      <c r="W166" s="3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5" t="s">
        <v>27</v>
      </c>
      <c r="B167" s="35" t="s">
        <v>22</v>
      </c>
      <c r="C167" s="35" t="s">
        <v>23</v>
      </c>
      <c r="D167" s="35" t="s">
        <v>24</v>
      </c>
      <c r="E167" s="35" t="s">
        <v>24</v>
      </c>
      <c r="F167" s="35" t="s">
        <v>25</v>
      </c>
      <c r="G167" s="35" t="s">
        <v>25</v>
      </c>
      <c r="H167" s="35" t="s">
        <v>25</v>
      </c>
      <c r="I167" s="55">
        <v>44774</v>
      </c>
      <c r="J167" s="56">
        <f>EFEITO!$J$167*EFEITO!$Y$167</f>
        <v>0</v>
      </c>
      <c r="K167" s="56">
        <f ca="1">EFEITO!$L$167*EFEITO!$Z$167</f>
        <v>-407.16020080222171</v>
      </c>
      <c r="L167" s="56">
        <f>EFEITO!$N$167*EFEITO!$AA$167</f>
        <v>-225.86668176570203</v>
      </c>
      <c r="M167" s="56">
        <f>$J$167-EFEITO!$K$167*EFEITO!$Y$167</f>
        <v>0</v>
      </c>
      <c r="N167" s="56">
        <f ca="1">$K$167-EFEITO!$M$167*EFEITO!$Z$167</f>
        <v>0</v>
      </c>
      <c r="O167" s="56">
        <f>$L$167-EFEITO!$O$167*EFEITO!$AA$167</f>
        <v>0</v>
      </c>
      <c r="P167" s="39"/>
      <c r="Q167" s="39"/>
      <c r="R167" s="39"/>
      <c r="S167" s="39"/>
      <c r="T167" s="39"/>
      <c r="U167" s="39"/>
      <c r="V167" s="39"/>
      <c r="W167" s="3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5" t="s">
        <v>28</v>
      </c>
      <c r="B168" s="35" t="s">
        <v>22</v>
      </c>
      <c r="C168" s="35" t="s">
        <v>23</v>
      </c>
      <c r="D168" s="35" t="s">
        <v>24</v>
      </c>
      <c r="E168" s="35" t="s">
        <v>24</v>
      </c>
      <c r="F168" s="35" t="s">
        <v>25</v>
      </c>
      <c r="G168" s="35" t="s">
        <v>25</v>
      </c>
      <c r="H168" s="35" t="s">
        <v>25</v>
      </c>
      <c r="I168" s="55">
        <v>44774</v>
      </c>
      <c r="J168" s="56">
        <f>EFEITO!$J$168*EFEITO!$Y$168</f>
        <v>0</v>
      </c>
      <c r="K168" s="56">
        <f ca="1">EFEITO!$L$168*EFEITO!$Z$168</f>
        <v>2321.1528491502104</v>
      </c>
      <c r="L168" s="56">
        <f>EFEITO!$N$168*EFEITO!$AA$168</f>
        <v>1287.6285326404684</v>
      </c>
      <c r="M168" s="56">
        <f>$J$168-EFEITO!$K$168*EFEITO!$Y$168</f>
        <v>0</v>
      </c>
      <c r="N168" s="56">
        <f ca="1">$K$168-EFEITO!$M$168*EFEITO!$Z$168</f>
        <v>0</v>
      </c>
      <c r="O168" s="56">
        <f>$L$168-EFEITO!$O$168*EFEITO!$AA$168</f>
        <v>0</v>
      </c>
      <c r="P168" s="39"/>
      <c r="Q168" s="39"/>
      <c r="R168" s="39"/>
      <c r="S168" s="39"/>
      <c r="T168" s="39"/>
      <c r="U168" s="39"/>
      <c r="V168" s="39"/>
      <c r="W168" s="3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5" t="s">
        <v>28</v>
      </c>
      <c r="B169" s="35" t="s">
        <v>22</v>
      </c>
      <c r="C169" s="35" t="s">
        <v>23</v>
      </c>
      <c r="D169" s="35" t="s">
        <v>24</v>
      </c>
      <c r="E169" s="35" t="s">
        <v>24</v>
      </c>
      <c r="F169" s="35" t="s">
        <v>25</v>
      </c>
      <c r="G169" s="35" t="s">
        <v>25</v>
      </c>
      <c r="H169" s="35" t="s">
        <v>25</v>
      </c>
      <c r="I169" s="55">
        <v>44774</v>
      </c>
      <c r="J169" s="56">
        <f>EFEITO!$J$169*EFEITO!$Y$169</f>
        <v>0</v>
      </c>
      <c r="K169" s="56">
        <f ca="1">EFEITO!$L$169*EFEITO!$Z$169</f>
        <v>-268.36661626177425</v>
      </c>
      <c r="L169" s="56">
        <f>EFEITO!$N$169*EFEITO!$AA$169</f>
        <v>-148.87279501362721</v>
      </c>
      <c r="M169" s="56">
        <f>$J$169-EFEITO!$K$169*EFEITO!$Y$169</f>
        <v>0</v>
      </c>
      <c r="N169" s="56">
        <f ca="1">$K$169-EFEITO!$M$169*EFEITO!$Z$169</f>
        <v>0</v>
      </c>
      <c r="O169" s="56">
        <f>$L$169-EFEITO!$O$169*EFEITO!$AA$169</f>
        <v>0</v>
      </c>
      <c r="P169" s="39"/>
      <c r="Q169" s="39"/>
      <c r="R169" s="39"/>
      <c r="S169" s="39"/>
      <c r="T169" s="39"/>
      <c r="U169" s="39"/>
      <c r="V169" s="39"/>
      <c r="W169" s="3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5" t="s">
        <v>21</v>
      </c>
      <c r="B170" s="35" t="s">
        <v>22</v>
      </c>
      <c r="C170" s="35" t="s">
        <v>23</v>
      </c>
      <c r="D170" s="35" t="s">
        <v>24</v>
      </c>
      <c r="E170" s="35" t="s">
        <v>29</v>
      </c>
      <c r="F170" s="35" t="s">
        <v>25</v>
      </c>
      <c r="G170" s="35" t="s">
        <v>25</v>
      </c>
      <c r="H170" s="35" t="s">
        <v>25</v>
      </c>
      <c r="I170" s="55">
        <v>44440</v>
      </c>
      <c r="J170" s="56">
        <f>EFEITO!$J$170*EFEITO!$Y$134</f>
        <v>0</v>
      </c>
      <c r="K170" s="56">
        <f ca="1">EFEITO!$L$170*EFEITO!$Z$210</f>
        <v>1277.7296354556997</v>
      </c>
      <c r="L170" s="56">
        <f>EFEITO!$N$170*EFEITO!$AA$210</f>
        <v>977.23010108402673</v>
      </c>
      <c r="M170" s="56">
        <f>$J$170-EFEITO!$K$170*EFEITO!$Y$170</f>
        <v>0</v>
      </c>
      <c r="N170" s="56">
        <f ca="1">$K$170-EFEITO!$M$170*EFEITO!$Z$170</f>
        <v>1314.4055082961841</v>
      </c>
      <c r="O170" s="56">
        <f>$L$170-EFEITO!$O$170*EFEITO!$AA$170</f>
        <v>635.1995657046175</v>
      </c>
      <c r="P170" s="39"/>
      <c r="Q170" s="39"/>
      <c r="R170" s="39"/>
      <c r="S170" s="39"/>
      <c r="T170" s="39"/>
      <c r="U170" s="39"/>
      <c r="V170" s="39"/>
      <c r="W170" s="3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5" t="s">
        <v>21</v>
      </c>
      <c r="B171" s="35" t="s">
        <v>22</v>
      </c>
      <c r="C171" s="35" t="s">
        <v>23</v>
      </c>
      <c r="D171" s="35" t="s">
        <v>24</v>
      </c>
      <c r="E171" s="35" t="s">
        <v>29</v>
      </c>
      <c r="F171" s="35" t="s">
        <v>25</v>
      </c>
      <c r="G171" s="35" t="s">
        <v>25</v>
      </c>
      <c r="H171" s="35" t="s">
        <v>25</v>
      </c>
      <c r="I171" s="55">
        <v>44470</v>
      </c>
      <c r="J171" s="56">
        <f>EFEITO!$J$171*EFEITO!$Y$134</f>
        <v>0</v>
      </c>
      <c r="K171" s="56">
        <f ca="1">EFEITO!$L$171*EFEITO!$Z$210</f>
        <v>1277.7296354556997</v>
      </c>
      <c r="L171" s="56">
        <f>EFEITO!$N$171*EFEITO!$AA$210</f>
        <v>977.23010108402673</v>
      </c>
      <c r="M171" s="56">
        <f>$J$171-EFEITO!$K$171*EFEITO!$Y$171</f>
        <v>0</v>
      </c>
      <c r="N171" s="56">
        <f ca="1">$K$171-EFEITO!$M$171*EFEITO!$Z$171</f>
        <v>1314.4055082961841</v>
      </c>
      <c r="O171" s="56">
        <f>$L$171-EFEITO!$O$171*EFEITO!$AA$171</f>
        <v>635.1995657046175</v>
      </c>
      <c r="P171" s="39"/>
      <c r="Q171" s="39"/>
      <c r="R171" s="39"/>
      <c r="S171" s="39"/>
      <c r="T171" s="39"/>
      <c r="U171" s="39"/>
      <c r="V171" s="39"/>
      <c r="W171" s="3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5" t="s">
        <v>21</v>
      </c>
      <c r="B172" s="35" t="s">
        <v>22</v>
      </c>
      <c r="C172" s="35" t="s">
        <v>23</v>
      </c>
      <c r="D172" s="35" t="s">
        <v>24</v>
      </c>
      <c r="E172" s="35" t="s">
        <v>29</v>
      </c>
      <c r="F172" s="35" t="s">
        <v>25</v>
      </c>
      <c r="G172" s="35" t="s">
        <v>25</v>
      </c>
      <c r="H172" s="35" t="s">
        <v>25</v>
      </c>
      <c r="I172" s="55">
        <v>44501</v>
      </c>
      <c r="J172" s="56">
        <f>EFEITO!$J$172*EFEITO!$Y$134</f>
        <v>0</v>
      </c>
      <c r="K172" s="56">
        <f ca="1">EFEITO!$L$172*EFEITO!$Z$210</f>
        <v>1267.1698864023469</v>
      </c>
      <c r="L172" s="56">
        <f>EFEITO!$N$172*EFEITO!$AA$210</f>
        <v>969.15381925688598</v>
      </c>
      <c r="M172" s="56">
        <f>$J$172-EFEITO!$K$172*EFEITO!$Y$172</f>
        <v>0</v>
      </c>
      <c r="N172" s="56">
        <f ca="1">$K$172-EFEITO!$M$172*EFEITO!$Z$172</f>
        <v>1303.5426528557198</v>
      </c>
      <c r="O172" s="56">
        <f>$L$172-EFEITO!$O$172*EFEITO!$AA$172</f>
        <v>629.94998251697598</v>
      </c>
      <c r="P172" s="39"/>
      <c r="Q172" s="39"/>
      <c r="R172" s="39"/>
      <c r="S172" s="39"/>
      <c r="T172" s="39"/>
      <c r="U172" s="39"/>
      <c r="V172" s="39"/>
      <c r="W172" s="3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5" t="s">
        <v>21</v>
      </c>
      <c r="B173" s="35" t="s">
        <v>22</v>
      </c>
      <c r="C173" s="35" t="s">
        <v>23</v>
      </c>
      <c r="D173" s="35" t="s">
        <v>24</v>
      </c>
      <c r="E173" s="35" t="s">
        <v>29</v>
      </c>
      <c r="F173" s="35" t="s">
        <v>25</v>
      </c>
      <c r="G173" s="35" t="s">
        <v>25</v>
      </c>
      <c r="H173" s="35" t="s">
        <v>25</v>
      </c>
      <c r="I173" s="55">
        <v>44531</v>
      </c>
      <c r="J173" s="56">
        <f>EFEITO!$J$173*EFEITO!$Y$134</f>
        <v>0</v>
      </c>
      <c r="K173" s="56">
        <f ca="1">EFEITO!$L$173*EFEITO!$Z$210</f>
        <v>1288.2893845090528</v>
      </c>
      <c r="L173" s="56">
        <f>EFEITO!$N$173*EFEITO!$AA$210</f>
        <v>985.30638291116747</v>
      </c>
      <c r="M173" s="56">
        <f>$J$173-EFEITO!$K$173*EFEITO!$Y$173</f>
        <v>0</v>
      </c>
      <c r="N173" s="56">
        <f ca="1">$K$173-EFEITO!$M$173*EFEITO!$Z$173</f>
        <v>1325.2683637366486</v>
      </c>
      <c r="O173" s="56">
        <f>$L$173-EFEITO!$O$173*EFEITO!$AA$173</f>
        <v>640.4491488922589</v>
      </c>
      <c r="P173" s="39"/>
      <c r="Q173" s="39"/>
      <c r="R173" s="39"/>
      <c r="S173" s="39"/>
      <c r="T173" s="39"/>
      <c r="U173" s="39"/>
      <c r="V173" s="39"/>
      <c r="W173" s="3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5" t="s">
        <v>21</v>
      </c>
      <c r="B174" s="35" t="s">
        <v>22</v>
      </c>
      <c r="C174" s="35" t="s">
        <v>23</v>
      </c>
      <c r="D174" s="35" t="s">
        <v>24</v>
      </c>
      <c r="E174" s="35" t="s">
        <v>29</v>
      </c>
      <c r="F174" s="35" t="s">
        <v>25</v>
      </c>
      <c r="G174" s="35" t="s">
        <v>25</v>
      </c>
      <c r="H174" s="35" t="s">
        <v>25</v>
      </c>
      <c r="I174" s="55">
        <v>44562</v>
      </c>
      <c r="J174" s="56">
        <f>EFEITO!$J$174*EFEITO!$Y$134</f>
        <v>0</v>
      </c>
      <c r="K174" s="56">
        <f ca="1">EFEITO!$L$174*EFEITO!$Z$210</f>
        <v>1267.1698864023469</v>
      </c>
      <c r="L174" s="56">
        <f>EFEITO!$N$174*EFEITO!$AA$210</f>
        <v>969.15381925688598</v>
      </c>
      <c r="M174" s="56">
        <f>$J$174-EFEITO!$K$174*EFEITO!$Y$174</f>
        <v>0</v>
      </c>
      <c r="N174" s="56">
        <f ca="1">$K$174-EFEITO!$M$174*EFEITO!$Z$174</f>
        <v>1303.5426528557198</v>
      </c>
      <c r="O174" s="56">
        <f>$L$174-EFEITO!$O$174*EFEITO!$AA$174</f>
        <v>629.94998251697598</v>
      </c>
      <c r="P174" s="39"/>
      <c r="Q174" s="39"/>
      <c r="R174" s="39"/>
      <c r="S174" s="39"/>
      <c r="T174" s="39"/>
      <c r="U174" s="39"/>
      <c r="V174" s="39"/>
      <c r="W174" s="3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5" t="s">
        <v>21</v>
      </c>
      <c r="B175" s="35" t="s">
        <v>22</v>
      </c>
      <c r="C175" s="35" t="s">
        <v>23</v>
      </c>
      <c r="D175" s="35" t="s">
        <v>24</v>
      </c>
      <c r="E175" s="35" t="s">
        <v>29</v>
      </c>
      <c r="F175" s="35" t="s">
        <v>25</v>
      </c>
      <c r="G175" s="35" t="s">
        <v>25</v>
      </c>
      <c r="H175" s="35" t="s">
        <v>25</v>
      </c>
      <c r="I175" s="55">
        <v>44593</v>
      </c>
      <c r="J175" s="56">
        <f>EFEITO!$J$175*EFEITO!$Y$134</f>
        <v>0</v>
      </c>
      <c r="K175" s="56">
        <f ca="1">EFEITO!$L$175*EFEITO!$Z$210</f>
        <v>1309.4088826157583</v>
      </c>
      <c r="L175" s="56">
        <f>EFEITO!$N$175*EFEITO!$AA$210</f>
        <v>1001.458946565449</v>
      </c>
      <c r="M175" s="56">
        <f>$J$175-EFEITO!$K$175*EFEITO!$Y$175</f>
        <v>0</v>
      </c>
      <c r="N175" s="56">
        <f ca="1">$K$175-EFEITO!$M$175*EFEITO!$Z$175</f>
        <v>1346.9940746175773</v>
      </c>
      <c r="O175" s="56">
        <f>$L$175-EFEITO!$O$175*EFEITO!$AA$175</f>
        <v>650.94831526754183</v>
      </c>
      <c r="P175" s="39"/>
      <c r="Q175" s="39"/>
      <c r="R175" s="39"/>
      <c r="S175" s="39"/>
      <c r="T175" s="39"/>
      <c r="U175" s="39"/>
      <c r="V175" s="39"/>
      <c r="W175" s="3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5" t="s">
        <v>21</v>
      </c>
      <c r="B176" s="35" t="s">
        <v>22</v>
      </c>
      <c r="C176" s="35" t="s">
        <v>23</v>
      </c>
      <c r="D176" s="35" t="s">
        <v>24</v>
      </c>
      <c r="E176" s="35" t="s">
        <v>29</v>
      </c>
      <c r="F176" s="35" t="s">
        <v>25</v>
      </c>
      <c r="G176" s="35" t="s">
        <v>25</v>
      </c>
      <c r="H176" s="35" t="s">
        <v>25</v>
      </c>
      <c r="I176" s="55">
        <v>44621</v>
      </c>
      <c r="J176" s="56">
        <f>EFEITO!$J$176*EFEITO!$Y$134</f>
        <v>0</v>
      </c>
      <c r="K176" s="56">
        <f ca="1">EFEITO!$L$176*EFEITO!$Z$210</f>
        <v>1316.4487153179937</v>
      </c>
      <c r="L176" s="56">
        <f>EFEITO!$N$176*EFEITO!$AA$210</f>
        <v>1006.8431344502094</v>
      </c>
      <c r="M176" s="56">
        <f>$J$176-EFEITO!$K$176*EFEITO!$Y$176</f>
        <v>0</v>
      </c>
      <c r="N176" s="56">
        <f ca="1">$K$176-EFEITO!$M$176*EFEITO!$Z$176</f>
        <v>1354.2359782445535</v>
      </c>
      <c r="O176" s="56">
        <f>$L$176-EFEITO!$O$176*EFEITO!$AA$176</f>
        <v>654.44803739263614</v>
      </c>
      <c r="P176" s="39"/>
      <c r="Q176" s="39"/>
      <c r="R176" s="39"/>
      <c r="S176" s="39"/>
      <c r="T176" s="39"/>
      <c r="U176" s="39"/>
      <c r="V176" s="39"/>
      <c r="W176" s="3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5" t="s">
        <v>21</v>
      </c>
      <c r="B177" s="35" t="s">
        <v>22</v>
      </c>
      <c r="C177" s="35" t="s">
        <v>23</v>
      </c>
      <c r="D177" s="35" t="s">
        <v>24</v>
      </c>
      <c r="E177" s="35" t="s">
        <v>29</v>
      </c>
      <c r="F177" s="35" t="s">
        <v>25</v>
      </c>
      <c r="G177" s="35" t="s">
        <v>25</v>
      </c>
      <c r="H177" s="35" t="s">
        <v>25</v>
      </c>
      <c r="I177" s="55">
        <v>44652</v>
      </c>
      <c r="J177" s="56">
        <f>EFEITO!$J$177*EFEITO!$Y$134</f>
        <v>0</v>
      </c>
      <c r="K177" s="56">
        <f ca="1">EFEITO!$L$177*EFEITO!$Z$210</f>
        <v>1351.6478788291699</v>
      </c>
      <c r="L177" s="56">
        <f>EFEITO!$N$177*EFEITO!$AA$210</f>
        <v>1033.7640738740117</v>
      </c>
      <c r="M177" s="56">
        <f>$J$177-EFEITO!$K$177*EFEITO!$Y$177</f>
        <v>0</v>
      </c>
      <c r="N177" s="56">
        <f ca="1">$K$177-EFEITO!$M$177*EFEITO!$Z$177</f>
        <v>1390.4454963794346</v>
      </c>
      <c r="O177" s="56">
        <f>$L$177-EFEITO!$O$177*EFEITO!$AA$177</f>
        <v>671.94664801810768</v>
      </c>
      <c r="P177" s="39"/>
      <c r="Q177" s="39"/>
      <c r="R177" s="39"/>
      <c r="S177" s="39"/>
      <c r="T177" s="39"/>
      <c r="U177" s="39"/>
      <c r="V177" s="39"/>
      <c r="W177" s="3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5" t="s">
        <v>21</v>
      </c>
      <c r="B178" s="35" t="s">
        <v>22</v>
      </c>
      <c r="C178" s="35" t="s">
        <v>23</v>
      </c>
      <c r="D178" s="35" t="s">
        <v>24</v>
      </c>
      <c r="E178" s="35" t="s">
        <v>29</v>
      </c>
      <c r="F178" s="35" t="s">
        <v>25</v>
      </c>
      <c r="G178" s="35" t="s">
        <v>25</v>
      </c>
      <c r="H178" s="35" t="s">
        <v>25</v>
      </c>
      <c r="I178" s="55">
        <v>44682</v>
      </c>
      <c r="J178" s="56">
        <f>EFEITO!$J$178*EFEITO!$Y$134</f>
        <v>0</v>
      </c>
      <c r="K178" s="56">
        <f ca="1">EFEITO!$L$178*EFEITO!$Z$210</f>
        <v>1383.3271259892288</v>
      </c>
      <c r="L178" s="56">
        <f>EFEITO!$N$178*EFEITO!$AA$210</f>
        <v>1057.992919355434</v>
      </c>
      <c r="M178" s="56">
        <f>$J$178-EFEITO!$K$178*EFEITO!$Y$178</f>
        <v>0</v>
      </c>
      <c r="N178" s="56">
        <f ca="1">$K$178-EFEITO!$M$178*EFEITO!$Z$178</f>
        <v>1423.0340627008277</v>
      </c>
      <c r="O178" s="56">
        <f>$L$178-EFEITO!$O$178*EFEITO!$AA$178</f>
        <v>687.69539758103213</v>
      </c>
      <c r="P178" s="39"/>
      <c r="Q178" s="39"/>
      <c r="R178" s="39"/>
      <c r="S178" s="39"/>
      <c r="T178" s="39"/>
      <c r="U178" s="39"/>
      <c r="V178" s="39"/>
      <c r="W178" s="3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5" t="s">
        <v>21</v>
      </c>
      <c r="B179" s="35" t="s">
        <v>22</v>
      </c>
      <c r="C179" s="35" t="s">
        <v>23</v>
      </c>
      <c r="D179" s="35" t="s">
        <v>24</v>
      </c>
      <c r="E179" s="35" t="s">
        <v>29</v>
      </c>
      <c r="F179" s="35" t="s">
        <v>25</v>
      </c>
      <c r="G179" s="35" t="s">
        <v>25</v>
      </c>
      <c r="H179" s="35" t="s">
        <v>25</v>
      </c>
      <c r="I179" s="55">
        <v>44713</v>
      </c>
      <c r="J179" s="56">
        <f>EFEITO!$J$179*EFEITO!$Y$134</f>
        <v>0</v>
      </c>
      <c r="K179" s="56">
        <f ca="1">EFEITO!$L$179*EFEITO!$Z$210</f>
        <v>2618.8177652315167</v>
      </c>
      <c r="L179" s="56">
        <f>EFEITO!$N$179*EFEITO!$AA$210</f>
        <v>2002.9178931308979</v>
      </c>
      <c r="M179" s="56">
        <f>$J$179-EFEITO!$K$179*EFEITO!$Y$179</f>
        <v>0</v>
      </c>
      <c r="N179" s="56">
        <f ca="1">$K$179-EFEITO!$M$179*EFEITO!$Z$179</f>
        <v>2693.9881492351547</v>
      </c>
      <c r="O179" s="56">
        <f>$L$179-EFEITO!$O$179*EFEITO!$AA$179</f>
        <v>1301.8966305350837</v>
      </c>
      <c r="P179" s="39"/>
      <c r="Q179" s="39"/>
      <c r="R179" s="39"/>
      <c r="S179" s="39"/>
      <c r="T179" s="39"/>
      <c r="U179" s="39"/>
      <c r="V179" s="39"/>
      <c r="W179" s="3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5" t="s">
        <v>27</v>
      </c>
      <c r="B180" s="35" t="s">
        <v>22</v>
      </c>
      <c r="C180" s="35" t="s">
        <v>23</v>
      </c>
      <c r="D180" s="35" t="s">
        <v>24</v>
      </c>
      <c r="E180" s="35" t="s">
        <v>29</v>
      </c>
      <c r="F180" s="35" t="s">
        <v>25</v>
      </c>
      <c r="G180" s="35" t="s">
        <v>25</v>
      </c>
      <c r="H180" s="35" t="s">
        <v>25</v>
      </c>
      <c r="I180" s="55">
        <v>44713</v>
      </c>
      <c r="J180" s="56">
        <f>EFEITO!$J$180*EFEITO!$Y$134</f>
        <v>0</v>
      </c>
      <c r="K180" s="56">
        <f ca="1">EFEITO!$L$180*EFEITO!$Z$210</f>
        <v>21.11949810670578</v>
      </c>
      <c r="L180" s="56">
        <f>EFEITO!$N$180*EFEITO!$AA$210</f>
        <v>16.152563654281433</v>
      </c>
      <c r="M180" s="56">
        <f>$J$180-EFEITO!$K$180*EFEITO!$Y$180</f>
        <v>0</v>
      </c>
      <c r="N180" s="56">
        <f ca="1">$K$180-EFEITO!$M$180*EFEITO!$Z$180</f>
        <v>21.725710880928666</v>
      </c>
      <c r="O180" s="56">
        <f>$L$180-EFEITO!$O$180*EFEITO!$AA$180</f>
        <v>10.499166375282933</v>
      </c>
      <c r="P180" s="39"/>
      <c r="Q180" s="39"/>
      <c r="R180" s="39"/>
      <c r="S180" s="39"/>
      <c r="T180" s="39"/>
      <c r="U180" s="39"/>
      <c r="V180" s="39"/>
      <c r="W180" s="3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5" t="s">
        <v>21</v>
      </c>
      <c r="B181" s="35" t="s">
        <v>22</v>
      </c>
      <c r="C181" s="35" t="s">
        <v>23</v>
      </c>
      <c r="D181" s="35" t="s">
        <v>24</v>
      </c>
      <c r="E181" s="35" t="s">
        <v>29</v>
      </c>
      <c r="F181" s="35" t="s">
        <v>25</v>
      </c>
      <c r="G181" s="35" t="s">
        <v>25</v>
      </c>
      <c r="H181" s="35" t="s">
        <v>25</v>
      </c>
      <c r="I181" s="55">
        <v>44743</v>
      </c>
      <c r="J181" s="56">
        <f>EFEITO!$J$181*EFEITO!$Y$134</f>
        <v>0</v>
      </c>
      <c r="K181" s="56">
        <f ca="1">EFEITO!$L$181*EFEITO!$Z$210</f>
        <v>2610.3699659888343</v>
      </c>
      <c r="L181" s="56">
        <f>EFEITO!$N$181*EFEITO!$AA$210</f>
        <v>1996.4568676691852</v>
      </c>
      <c r="M181" s="56">
        <f>$J$181-EFEITO!$K$181*EFEITO!$Y$181</f>
        <v>0</v>
      </c>
      <c r="N181" s="56">
        <f ca="1">$K$181-EFEITO!$M$181*EFEITO!$Z$181</f>
        <v>2685.297864882783</v>
      </c>
      <c r="O181" s="56">
        <f>$L$181-EFEITO!$O$181*EFEITO!$AA$181</f>
        <v>1297.6969639849704</v>
      </c>
      <c r="P181" s="39"/>
      <c r="Q181" s="39"/>
      <c r="R181" s="39"/>
      <c r="S181" s="39"/>
      <c r="T181" s="39"/>
      <c r="U181" s="39"/>
      <c r="V181" s="39"/>
      <c r="W181" s="3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5" t="s">
        <v>21</v>
      </c>
      <c r="B182" s="35" t="s">
        <v>22</v>
      </c>
      <c r="C182" s="35" t="s">
        <v>23</v>
      </c>
      <c r="D182" s="35" t="s">
        <v>24</v>
      </c>
      <c r="E182" s="35" t="s">
        <v>29</v>
      </c>
      <c r="F182" s="35" t="s">
        <v>25</v>
      </c>
      <c r="G182" s="35" t="s">
        <v>25</v>
      </c>
      <c r="H182" s="35" t="s">
        <v>25</v>
      </c>
      <c r="I182" s="55">
        <v>44774</v>
      </c>
      <c r="J182" s="56">
        <f>EFEITO!$J$182*EFEITO!$Y$134</f>
        <v>0</v>
      </c>
      <c r="K182" s="56">
        <f ca="1">EFEITO!$L$182*EFEITO!$Z$210</f>
        <v>1953.5535748702846</v>
      </c>
      <c r="L182" s="56">
        <f>EFEITO!$N$182*EFEITO!$AA$210</f>
        <v>1494.1121380210325</v>
      </c>
      <c r="M182" s="56">
        <f>$J$182-EFEITO!$K$182*EFEITO!$Y$182</f>
        <v>0</v>
      </c>
      <c r="N182" s="56">
        <f ca="1">$K$182-EFEITO!$M$182*EFEITO!$Z$182</f>
        <v>2009.6282564859016</v>
      </c>
      <c r="O182" s="56">
        <f>$L$182-EFEITO!$O$182*EFEITO!$AA$182</f>
        <v>971.17288971367111</v>
      </c>
      <c r="P182" s="39"/>
      <c r="Q182" s="39"/>
      <c r="R182" s="39"/>
      <c r="S182" s="39"/>
      <c r="T182" s="39"/>
      <c r="U182" s="39"/>
      <c r="V182" s="39"/>
      <c r="W182" s="3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5" t="s">
        <v>21</v>
      </c>
      <c r="B183" s="35" t="s">
        <v>22</v>
      </c>
      <c r="C183" s="35" t="s">
        <v>23</v>
      </c>
      <c r="D183" s="35" t="s">
        <v>24</v>
      </c>
      <c r="E183" s="35" t="s">
        <v>30</v>
      </c>
      <c r="F183" s="35" t="s">
        <v>25</v>
      </c>
      <c r="G183" s="35" t="s">
        <v>25</v>
      </c>
      <c r="H183" s="35" t="s">
        <v>25</v>
      </c>
      <c r="I183" s="55">
        <v>44440</v>
      </c>
      <c r="J183" s="56">
        <f>EFEITO!$J$183*EFEITO!$Y$134</f>
        <v>0</v>
      </c>
      <c r="K183" s="56">
        <f ca="1">EFEITO!$L$183*EFEITO!$Z$210</f>
        <v>2718.0794063330341</v>
      </c>
      <c r="L183" s="56">
        <f>EFEITO!$N$183*EFEITO!$AA$210</f>
        <v>2078.8349423060204</v>
      </c>
      <c r="M183" s="56">
        <f>$J$183-EFEITO!$K$183*EFEITO!$Y$183</f>
        <v>0</v>
      </c>
      <c r="N183" s="56">
        <f ca="1">$K$183-EFEITO!$M$183*EFEITO!$Z$183</f>
        <v>2116.5791387922609</v>
      </c>
      <c r="O183" s="56">
        <f>$L$183-EFEITO!$O$183*EFEITO!$AA$183</f>
        <v>831.53397692240787</v>
      </c>
      <c r="P183" s="39"/>
      <c r="Q183" s="39"/>
      <c r="R183" s="39"/>
      <c r="S183" s="39"/>
      <c r="T183" s="39"/>
      <c r="U183" s="39"/>
      <c r="V183" s="39"/>
      <c r="W183" s="3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5" t="s">
        <v>21</v>
      </c>
      <c r="B184" s="35" t="s">
        <v>22</v>
      </c>
      <c r="C184" s="35" t="s">
        <v>23</v>
      </c>
      <c r="D184" s="35" t="s">
        <v>24</v>
      </c>
      <c r="E184" s="35" t="s">
        <v>30</v>
      </c>
      <c r="F184" s="35" t="s">
        <v>25</v>
      </c>
      <c r="G184" s="35" t="s">
        <v>25</v>
      </c>
      <c r="H184" s="35" t="s">
        <v>25</v>
      </c>
      <c r="I184" s="55">
        <v>44470</v>
      </c>
      <c r="J184" s="56">
        <f>EFEITO!$J$184*EFEITO!$Y$134</f>
        <v>0</v>
      </c>
      <c r="K184" s="56">
        <f ca="1">EFEITO!$L$184*EFEITO!$Z$210</f>
        <v>2620.5777234070756</v>
      </c>
      <c r="L184" s="56">
        <f>EFEITO!$N$184*EFEITO!$AA$210</f>
        <v>2004.2639401020879</v>
      </c>
      <c r="M184" s="56">
        <f>$J$184-EFEITO!$K$184*EFEITO!$Y$184</f>
        <v>0</v>
      </c>
      <c r="N184" s="56">
        <f ca="1">$K$184-EFEITO!$M$184*EFEITO!$Z$184</f>
        <v>2040.6541942901297</v>
      </c>
      <c r="O184" s="56">
        <f>$L$184-EFEITO!$O$184*EFEITO!$AA$184</f>
        <v>801.70557604083501</v>
      </c>
      <c r="P184" s="39"/>
      <c r="Q184" s="39"/>
      <c r="R184" s="39"/>
      <c r="S184" s="39"/>
      <c r="T184" s="39"/>
      <c r="U184" s="39"/>
      <c r="V184" s="39"/>
      <c r="W184" s="3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5" t="s">
        <v>21</v>
      </c>
      <c r="B185" s="35" t="s">
        <v>22</v>
      </c>
      <c r="C185" s="35" t="s">
        <v>23</v>
      </c>
      <c r="D185" s="35" t="s">
        <v>24</v>
      </c>
      <c r="E185" s="35" t="s">
        <v>30</v>
      </c>
      <c r="F185" s="35" t="s">
        <v>25</v>
      </c>
      <c r="G185" s="35" t="s">
        <v>25</v>
      </c>
      <c r="H185" s="35" t="s">
        <v>25</v>
      </c>
      <c r="I185" s="55">
        <v>44501</v>
      </c>
      <c r="J185" s="56">
        <f>EFEITO!$J$185*EFEITO!$Y$134</f>
        <v>0</v>
      </c>
      <c r="K185" s="56">
        <f ca="1">EFEITO!$L$185*EFEITO!$Z$210</f>
        <v>2632.8974306359873</v>
      </c>
      <c r="L185" s="56">
        <f>EFEITO!$N$185*EFEITO!$AA$210</f>
        <v>2013.6862689004188</v>
      </c>
      <c r="M185" s="56">
        <f>$J$185-EFEITO!$K$185*EFEITO!$Y$185</f>
        <v>0</v>
      </c>
      <c r="N185" s="56">
        <f ca="1">$K$185-EFEITO!$M$185*EFEITO!$Z$185</f>
        <v>2050.2475988301103</v>
      </c>
      <c r="O185" s="56">
        <f>$L$185-EFEITO!$O$185*EFEITO!$AA$185</f>
        <v>805.47450756016747</v>
      </c>
      <c r="P185" s="39"/>
      <c r="Q185" s="39"/>
      <c r="R185" s="39"/>
      <c r="S185" s="39"/>
      <c r="T185" s="39"/>
      <c r="U185" s="39"/>
      <c r="V185" s="39"/>
      <c r="W185" s="3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5" t="s">
        <v>21</v>
      </c>
      <c r="B186" s="35" t="s">
        <v>22</v>
      </c>
      <c r="C186" s="35" t="s">
        <v>23</v>
      </c>
      <c r="D186" s="35" t="s">
        <v>24</v>
      </c>
      <c r="E186" s="35" t="s">
        <v>30</v>
      </c>
      <c r="F186" s="35" t="s">
        <v>25</v>
      </c>
      <c r="G186" s="35" t="s">
        <v>25</v>
      </c>
      <c r="H186" s="35" t="s">
        <v>25</v>
      </c>
      <c r="I186" s="55">
        <v>44531</v>
      </c>
      <c r="J186" s="56">
        <f>EFEITO!$J$186*EFEITO!$Y$134</f>
        <v>0</v>
      </c>
      <c r="K186" s="56">
        <f ca="1">EFEITO!$L$186*EFEITO!$Z$210</f>
        <v>2731.8070801023928</v>
      </c>
      <c r="L186" s="56">
        <f>EFEITO!$N$186*EFEITO!$AA$210</f>
        <v>2089.3341086813034</v>
      </c>
      <c r="M186" s="56">
        <f>$J$186-EFEITO!$K$186*EFEITO!$Y$186</f>
        <v>0</v>
      </c>
      <c r="N186" s="56">
        <f ca="1">$K$186-EFEITO!$M$186*EFEITO!$Z$186</f>
        <v>2127.2689324225248</v>
      </c>
      <c r="O186" s="56">
        <f>$L$186-EFEITO!$O$186*EFEITO!$AA$186</f>
        <v>835.73364347252141</v>
      </c>
      <c r="P186" s="39"/>
      <c r="Q186" s="39"/>
      <c r="R186" s="39"/>
      <c r="S186" s="39"/>
      <c r="T186" s="39"/>
      <c r="U186" s="39"/>
      <c r="V186" s="39"/>
      <c r="W186" s="3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5" t="s">
        <v>21</v>
      </c>
      <c r="B187" s="35" t="s">
        <v>22</v>
      </c>
      <c r="C187" s="35" t="s">
        <v>23</v>
      </c>
      <c r="D187" s="35" t="s">
        <v>24</v>
      </c>
      <c r="E187" s="35" t="s">
        <v>30</v>
      </c>
      <c r="F187" s="35" t="s">
        <v>25</v>
      </c>
      <c r="G187" s="35" t="s">
        <v>25</v>
      </c>
      <c r="H187" s="35" t="s">
        <v>25</v>
      </c>
      <c r="I187" s="55">
        <v>44562</v>
      </c>
      <c r="J187" s="56">
        <f>EFEITO!$J$187*EFEITO!$Y$134</f>
        <v>0</v>
      </c>
      <c r="K187" s="56">
        <f ca="1">EFEITO!$L$187*EFEITO!$Z$210</f>
        <v>2743.7747956961925</v>
      </c>
      <c r="L187" s="56">
        <f>EFEITO!$N$187*EFEITO!$AA$210</f>
        <v>2098.4872280853961</v>
      </c>
      <c r="M187" s="56">
        <f>$J$187-EFEITO!$K$187*EFEITO!$Y$187</f>
        <v>0</v>
      </c>
      <c r="N187" s="56">
        <f ca="1">$K$187-EFEITO!$M$187*EFEITO!$Z$187</f>
        <v>2136.5882396899342</v>
      </c>
      <c r="O187" s="56">
        <f>$L$187-EFEITO!$O$187*EFEITO!$AA$187</f>
        <v>839.39489123415819</v>
      </c>
      <c r="P187" s="39"/>
      <c r="Q187" s="39"/>
      <c r="R187" s="39"/>
      <c r="S187" s="39"/>
      <c r="T187" s="39"/>
      <c r="U187" s="39"/>
      <c r="V187" s="39"/>
      <c r="W187" s="3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5" t="s">
        <v>21</v>
      </c>
      <c r="B188" s="35" t="s">
        <v>22</v>
      </c>
      <c r="C188" s="35" t="s">
        <v>23</v>
      </c>
      <c r="D188" s="35" t="s">
        <v>24</v>
      </c>
      <c r="E188" s="35" t="s">
        <v>30</v>
      </c>
      <c r="F188" s="35" t="s">
        <v>25</v>
      </c>
      <c r="G188" s="35" t="s">
        <v>25</v>
      </c>
      <c r="H188" s="35" t="s">
        <v>25</v>
      </c>
      <c r="I188" s="55">
        <v>44593</v>
      </c>
      <c r="J188" s="56">
        <f>EFEITO!$J$188*EFEITO!$Y$134</f>
        <v>0</v>
      </c>
      <c r="K188" s="56">
        <f ca="1">EFEITO!$L$188*EFEITO!$Z$210</f>
        <v>2822.2689303261159</v>
      </c>
      <c r="L188" s="56">
        <f>EFEITO!$N$188*EFEITO!$AA$210</f>
        <v>2158.5209230004757</v>
      </c>
      <c r="M188" s="56">
        <f>$J$188-EFEITO!$K$188*EFEITO!$Y$188</f>
        <v>0</v>
      </c>
      <c r="N188" s="56">
        <f ca="1">$K$188-EFEITO!$M$188*EFEITO!$Z$188</f>
        <v>2197.711931473239</v>
      </c>
      <c r="O188" s="56">
        <f>$L$188-EFEITO!$O$188*EFEITO!$AA$188</f>
        <v>863.40836920019024</v>
      </c>
      <c r="P188" s="39"/>
      <c r="Q188" s="39"/>
      <c r="R188" s="39"/>
      <c r="S188" s="39"/>
      <c r="T188" s="39"/>
      <c r="U188" s="39"/>
      <c r="V188" s="39"/>
      <c r="W188" s="3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5" t="s">
        <v>21</v>
      </c>
      <c r="B189" s="35" t="s">
        <v>22</v>
      </c>
      <c r="C189" s="35" t="s">
        <v>23</v>
      </c>
      <c r="D189" s="35" t="s">
        <v>24</v>
      </c>
      <c r="E189" s="35" t="s">
        <v>30</v>
      </c>
      <c r="F189" s="35" t="s">
        <v>25</v>
      </c>
      <c r="G189" s="35" t="s">
        <v>25</v>
      </c>
      <c r="H189" s="35" t="s">
        <v>25</v>
      </c>
      <c r="I189" s="55">
        <v>44621</v>
      </c>
      <c r="J189" s="56">
        <f>EFEITO!$J$189*EFEITO!$Y$134</f>
        <v>0</v>
      </c>
      <c r="K189" s="56">
        <f ca="1">EFEITO!$L$189*EFEITO!$Z$210</f>
        <v>2850.4282611350573</v>
      </c>
      <c r="L189" s="56">
        <f>EFEITO!$N$189*EFEITO!$AA$210</f>
        <v>2180.0576745395178</v>
      </c>
      <c r="M189" s="56">
        <f>$J$189-EFEITO!$K$189*EFEITO!$Y$189</f>
        <v>0</v>
      </c>
      <c r="N189" s="56">
        <f ca="1">$K$189-EFEITO!$M$189*EFEITO!$Z$189</f>
        <v>2219.6397132789079</v>
      </c>
      <c r="O189" s="56">
        <f>$L$189-EFEITO!$O$189*EFEITO!$AA$189</f>
        <v>872.02306981580728</v>
      </c>
      <c r="P189" s="39"/>
      <c r="Q189" s="39"/>
      <c r="R189" s="39"/>
      <c r="S189" s="39"/>
      <c r="T189" s="39"/>
      <c r="U189" s="39"/>
      <c r="V189" s="39"/>
      <c r="W189" s="3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5" t="s">
        <v>21</v>
      </c>
      <c r="B190" s="35" t="s">
        <v>22</v>
      </c>
      <c r="C190" s="35" t="s">
        <v>23</v>
      </c>
      <c r="D190" s="35" t="s">
        <v>24</v>
      </c>
      <c r="E190" s="35" t="s">
        <v>30</v>
      </c>
      <c r="F190" s="35" t="s">
        <v>25</v>
      </c>
      <c r="G190" s="35" t="s">
        <v>25</v>
      </c>
      <c r="H190" s="35" t="s">
        <v>25</v>
      </c>
      <c r="I190" s="55">
        <v>44652</v>
      </c>
      <c r="J190" s="56">
        <f>EFEITO!$J$190*EFEITO!$Y$134</f>
        <v>0</v>
      </c>
      <c r="K190" s="56">
        <f ca="1">EFEITO!$L$190*EFEITO!$Z$210</f>
        <v>2956.7297349388095</v>
      </c>
      <c r="L190" s="56">
        <f>EFEITO!$N$190*EFEITO!$AA$210</f>
        <v>2261.3589115994009</v>
      </c>
      <c r="M190" s="56">
        <f>$J$190-EFEITO!$K$190*EFEITO!$Y$190</f>
        <v>0</v>
      </c>
      <c r="N190" s="56">
        <f ca="1">$K$190-EFEITO!$M$190*EFEITO!$Z$190</f>
        <v>2302.4170895953112</v>
      </c>
      <c r="O190" s="56">
        <f>$L$190-EFEITO!$O$190*EFEITO!$AA$190</f>
        <v>904.54356463976046</v>
      </c>
      <c r="P190" s="39"/>
      <c r="Q190" s="39"/>
      <c r="R190" s="39"/>
      <c r="S190" s="39"/>
      <c r="T190" s="39"/>
      <c r="U190" s="39"/>
      <c r="V190" s="39"/>
      <c r="W190" s="3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5" t="s">
        <v>21</v>
      </c>
      <c r="B191" s="35" t="s">
        <v>22</v>
      </c>
      <c r="C191" s="35" t="s">
        <v>23</v>
      </c>
      <c r="D191" s="35" t="s">
        <v>24</v>
      </c>
      <c r="E191" s="35" t="s">
        <v>30</v>
      </c>
      <c r="F191" s="35" t="s">
        <v>25</v>
      </c>
      <c r="G191" s="35" t="s">
        <v>25</v>
      </c>
      <c r="H191" s="35" t="s">
        <v>25</v>
      </c>
      <c r="I191" s="55">
        <v>44682</v>
      </c>
      <c r="J191" s="56">
        <f>EFEITO!$J$191*EFEITO!$Y$134</f>
        <v>0</v>
      </c>
      <c r="K191" s="56">
        <f ca="1">EFEITO!$L$191*EFEITO!$Z$210</f>
        <v>2865.211909809751</v>
      </c>
      <c r="L191" s="56">
        <f>EFEITO!$N$191*EFEITO!$AA$210</f>
        <v>2191.3644690975148</v>
      </c>
      <c r="M191" s="56">
        <f>$J$191-EFEITO!$K$191*EFEITO!$Y$191</f>
        <v>0</v>
      </c>
      <c r="N191" s="56">
        <f ca="1">$K$191-EFEITO!$M$191*EFEITO!$Z$191</f>
        <v>2231.1517987268849</v>
      </c>
      <c r="O191" s="56">
        <f>$L$191-EFEITO!$O$191*EFEITO!$AA$191</f>
        <v>876.54578763900599</v>
      </c>
      <c r="P191" s="39"/>
      <c r="Q191" s="39"/>
      <c r="R191" s="39"/>
      <c r="S191" s="39"/>
      <c r="T191" s="39"/>
      <c r="U191" s="39"/>
      <c r="V191" s="39"/>
      <c r="W191" s="3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5" t="s">
        <v>21</v>
      </c>
      <c r="B192" s="35" t="s">
        <v>22</v>
      </c>
      <c r="C192" s="35" t="s">
        <v>23</v>
      </c>
      <c r="D192" s="35" t="s">
        <v>24</v>
      </c>
      <c r="E192" s="35" t="s">
        <v>30</v>
      </c>
      <c r="F192" s="35" t="s">
        <v>25</v>
      </c>
      <c r="G192" s="35" t="s">
        <v>25</v>
      </c>
      <c r="H192" s="35" t="s">
        <v>25</v>
      </c>
      <c r="I192" s="55">
        <v>44713</v>
      </c>
      <c r="J192" s="56">
        <f>EFEITO!$J$192*EFEITO!$Y$134</f>
        <v>0</v>
      </c>
      <c r="K192" s="56">
        <f ca="1">EFEITO!$L$192*EFEITO!$Z$210</f>
        <v>4538.2281514959604</v>
      </c>
      <c r="L192" s="56">
        <f>EFEITO!$N$192*EFEITO!$AA$210</f>
        <v>3470.9167199108424</v>
      </c>
      <c r="M192" s="56">
        <f>$J$192-EFEITO!$K$192*EFEITO!$Y$192</f>
        <v>0</v>
      </c>
      <c r="N192" s="56">
        <f ca="1">$K$192-EFEITO!$M$192*EFEITO!$Z$192</f>
        <v>3533.9361352562314</v>
      </c>
      <c r="O192" s="56">
        <f>$L$192-EFEITO!$O$192*EFEITO!$AA$192</f>
        <v>1388.366687964337</v>
      </c>
      <c r="P192" s="39"/>
      <c r="Q192" s="39"/>
      <c r="R192" s="39"/>
      <c r="S192" s="39"/>
      <c r="T192" s="39"/>
      <c r="U192" s="39"/>
      <c r="V192" s="39"/>
      <c r="W192" s="3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5" t="s">
        <v>27</v>
      </c>
      <c r="B193" s="35" t="s">
        <v>22</v>
      </c>
      <c r="C193" s="35" t="s">
        <v>23</v>
      </c>
      <c r="D193" s="35" t="s">
        <v>24</v>
      </c>
      <c r="E193" s="35" t="s">
        <v>30</v>
      </c>
      <c r="F193" s="35" t="s">
        <v>25</v>
      </c>
      <c r="G193" s="35" t="s">
        <v>25</v>
      </c>
      <c r="H193" s="35" t="s">
        <v>25</v>
      </c>
      <c r="I193" s="55">
        <v>44713</v>
      </c>
      <c r="J193" s="56">
        <f>EFEITO!$J$193*EFEITO!$Y$134</f>
        <v>0</v>
      </c>
      <c r="K193" s="56">
        <f ca="1">EFEITO!$L$193*EFEITO!$Z$210</f>
        <v>49.278828915646827</v>
      </c>
      <c r="L193" s="56">
        <f>EFEITO!$N$193*EFEITO!$AA$210</f>
        <v>37.689315193323345</v>
      </c>
      <c r="M193" s="56">
        <f>$J$193-EFEITO!$K$193*EFEITO!$Y$193</f>
        <v>0</v>
      </c>
      <c r="N193" s="56">
        <f ca="1">$K$193-EFEITO!$M$193*EFEITO!$Z$193</f>
        <v>38.373618159921847</v>
      </c>
      <c r="O193" s="56">
        <f>$L$193-EFEITO!$O$193*EFEITO!$AA$193</f>
        <v>15.075726077329335</v>
      </c>
      <c r="P193" s="39"/>
      <c r="Q193" s="39"/>
      <c r="R193" s="39"/>
      <c r="S193" s="39"/>
      <c r="T193" s="39"/>
      <c r="U193" s="39"/>
      <c r="V193" s="39"/>
      <c r="W193" s="3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5" t="s">
        <v>21</v>
      </c>
      <c r="B194" s="35" t="s">
        <v>22</v>
      </c>
      <c r="C194" s="35" t="s">
        <v>23</v>
      </c>
      <c r="D194" s="35" t="s">
        <v>24</v>
      </c>
      <c r="E194" s="35" t="s">
        <v>30</v>
      </c>
      <c r="F194" s="35" t="s">
        <v>25</v>
      </c>
      <c r="G194" s="35" t="s">
        <v>25</v>
      </c>
      <c r="H194" s="35" t="s">
        <v>25</v>
      </c>
      <c r="I194" s="55">
        <v>44743</v>
      </c>
      <c r="J194" s="56">
        <f>EFEITO!$J$194*EFEITO!$Y$134</f>
        <v>0</v>
      </c>
      <c r="K194" s="56">
        <f ca="1">EFEITO!$L$194*EFEITO!$Z$210</f>
        <v>4456.2141005149197</v>
      </c>
      <c r="L194" s="56">
        <f>EFEITO!$N$194*EFEITO!$AA$210</f>
        <v>3408.1909310533824</v>
      </c>
      <c r="M194" s="56">
        <f>$J$194-EFEITO!$K$194*EFEITO!$Y$194</f>
        <v>0</v>
      </c>
      <c r="N194" s="56">
        <f ca="1">$K$194-EFEITO!$M$194*EFEITO!$Z$194</f>
        <v>3470.0714707472184</v>
      </c>
      <c r="O194" s="56">
        <f>$L$194-EFEITO!$O$194*EFEITO!$AA$194</f>
        <v>1363.2763724213528</v>
      </c>
      <c r="P194" s="39"/>
      <c r="Q194" s="39"/>
      <c r="R194" s="39"/>
      <c r="S194" s="39"/>
      <c r="T194" s="39"/>
      <c r="U194" s="39"/>
      <c r="V194" s="39"/>
      <c r="W194" s="3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5" t="s">
        <v>21</v>
      </c>
      <c r="B195" s="35" t="s">
        <v>22</v>
      </c>
      <c r="C195" s="35" t="s">
        <v>23</v>
      </c>
      <c r="D195" s="35" t="s">
        <v>24</v>
      </c>
      <c r="E195" s="35" t="s">
        <v>30</v>
      </c>
      <c r="F195" s="35" t="s">
        <v>25</v>
      </c>
      <c r="G195" s="35" t="s">
        <v>25</v>
      </c>
      <c r="H195" s="35" t="s">
        <v>25</v>
      </c>
      <c r="I195" s="55">
        <v>44774</v>
      </c>
      <c r="J195" s="56">
        <f>EFEITO!$J$195*EFEITO!$Y$134</f>
        <v>0</v>
      </c>
      <c r="K195" s="56">
        <f ca="1">EFEITO!$L$195*EFEITO!$Z$210</f>
        <v>3627.6257914618291</v>
      </c>
      <c r="L195" s="56">
        <f>EFEITO!$N$195*EFEITO!$AA$210</f>
        <v>2774.472017017074</v>
      </c>
      <c r="M195" s="56">
        <f>$J$195-EFEITO!$K$195*EFEITO!$Y$195</f>
        <v>0</v>
      </c>
      <c r="N195" s="56">
        <f ca="1">$K$195-EFEITO!$M$195*EFEITO!$Z$195</f>
        <v>2824.8464911153892</v>
      </c>
      <c r="O195" s="56">
        <f>$L$195-EFEITO!$O$195*EFEITO!$AA$195</f>
        <v>1109.7888068068296</v>
      </c>
      <c r="P195" s="39"/>
      <c r="Q195" s="39"/>
      <c r="R195" s="39"/>
      <c r="S195" s="39"/>
      <c r="T195" s="39"/>
      <c r="U195" s="39"/>
      <c r="V195" s="39"/>
      <c r="W195" s="3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5" t="s">
        <v>21</v>
      </c>
      <c r="B196" s="35" t="s">
        <v>22</v>
      </c>
      <c r="C196" s="35" t="s">
        <v>23</v>
      </c>
      <c r="D196" s="35" t="s">
        <v>24</v>
      </c>
      <c r="E196" s="35" t="s">
        <v>31</v>
      </c>
      <c r="F196" s="35" t="s">
        <v>25</v>
      </c>
      <c r="G196" s="35" t="s">
        <v>25</v>
      </c>
      <c r="H196" s="35" t="s">
        <v>25</v>
      </c>
      <c r="I196" s="55">
        <v>44440</v>
      </c>
      <c r="J196" s="56">
        <f>EFEITO!$J$196*EFEITO!$Y$134</f>
        <v>0</v>
      </c>
      <c r="K196" s="56">
        <f ca="1">EFEITO!$L$196*EFEITO!$Z$210</f>
        <v>2572.3548693967641</v>
      </c>
      <c r="L196" s="56">
        <f>EFEITO!$N$196*EFEITO!$AA$210</f>
        <v>1967.3822530914786</v>
      </c>
      <c r="M196" s="56">
        <f>$J$196-EFEITO!$K$196*EFEITO!$Y$196</f>
        <v>0</v>
      </c>
      <c r="N196" s="56">
        <f ca="1">$K$196-EFEITO!$M$196*EFEITO!$Z$196</f>
        <v>1231.396407128891</v>
      </c>
      <c r="O196" s="56">
        <f>$L$196-EFEITO!$O$196*EFEITO!$AA$196</f>
        <v>196.73822530914799</v>
      </c>
      <c r="P196" s="39"/>
      <c r="Q196" s="39"/>
      <c r="R196" s="39"/>
      <c r="S196" s="39"/>
      <c r="T196" s="39"/>
      <c r="U196" s="39"/>
      <c r="V196" s="39"/>
      <c r="W196" s="3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5" t="s">
        <v>21</v>
      </c>
      <c r="B197" s="35" t="s">
        <v>22</v>
      </c>
      <c r="C197" s="35" t="s">
        <v>23</v>
      </c>
      <c r="D197" s="35" t="s">
        <v>24</v>
      </c>
      <c r="E197" s="35" t="s">
        <v>31</v>
      </c>
      <c r="F197" s="35" t="s">
        <v>25</v>
      </c>
      <c r="G197" s="35" t="s">
        <v>25</v>
      </c>
      <c r="H197" s="35" t="s">
        <v>25</v>
      </c>
      <c r="I197" s="55">
        <v>44470</v>
      </c>
      <c r="J197" s="56">
        <f>EFEITO!$J$197*EFEITO!$Y$134</f>
        <v>0</v>
      </c>
      <c r="K197" s="56">
        <f ca="1">EFEITO!$L$197*EFEITO!$Z$210</f>
        <v>1864.4996911870085</v>
      </c>
      <c r="L197" s="56">
        <f>EFEITO!$N$197*EFEITO!$AA$210</f>
        <v>1426.0021612788125</v>
      </c>
      <c r="M197" s="56">
        <f>$J$197-EFEITO!$K$197*EFEITO!$Y$197</f>
        <v>0</v>
      </c>
      <c r="N197" s="56">
        <f ca="1">$K$197-EFEITO!$M$197*EFEITO!$Z$197</f>
        <v>892.54334545179745</v>
      </c>
      <c r="O197" s="56">
        <f>$L$197-EFEITO!$O$197*EFEITO!$AA$197</f>
        <v>142.60021612788137</v>
      </c>
      <c r="P197" s="39"/>
      <c r="Q197" s="39"/>
      <c r="R197" s="39"/>
      <c r="S197" s="39"/>
      <c r="T197" s="39"/>
      <c r="U197" s="39"/>
      <c r="V197" s="39"/>
      <c r="W197" s="3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5" t="s">
        <v>27</v>
      </c>
      <c r="B198" s="35" t="s">
        <v>22</v>
      </c>
      <c r="C198" s="35" t="s">
        <v>23</v>
      </c>
      <c r="D198" s="35" t="s">
        <v>24</v>
      </c>
      <c r="E198" s="35" t="s">
        <v>31</v>
      </c>
      <c r="F198" s="35" t="s">
        <v>25</v>
      </c>
      <c r="G198" s="35" t="s">
        <v>25</v>
      </c>
      <c r="H198" s="35" t="s">
        <v>25</v>
      </c>
      <c r="I198" s="55">
        <v>44470</v>
      </c>
      <c r="J198" s="56">
        <f>EFEITO!$J$198*EFEITO!$Y$134</f>
        <v>0</v>
      </c>
      <c r="K198" s="56">
        <f ca="1">EFEITO!$L$198*EFEITO!$Z$210</f>
        <v>-8.4477992426823114</v>
      </c>
      <c r="L198" s="56">
        <f>EFEITO!$N$198*EFEITO!$AA$210</f>
        <v>-6.4610254617125733</v>
      </c>
      <c r="M198" s="56">
        <f>$J$198-EFEITO!$K$198*EFEITO!$Y$198</f>
        <v>0</v>
      </c>
      <c r="N198" s="56">
        <f ca="1">$K$198-EFEITO!$M$198*EFEITO!$Z$198</f>
        <v>-4.0439947688961935</v>
      </c>
      <c r="O198" s="56">
        <f>$L$198-EFEITO!$O$198*EFEITO!$AA$198</f>
        <v>-0.64610254617125751</v>
      </c>
      <c r="P198" s="39"/>
      <c r="Q198" s="39"/>
      <c r="R198" s="39"/>
      <c r="S198" s="39"/>
      <c r="T198" s="39"/>
      <c r="U198" s="39"/>
      <c r="V198" s="39"/>
      <c r="W198" s="3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5" t="s">
        <v>21</v>
      </c>
      <c r="B199" s="35" t="s">
        <v>22</v>
      </c>
      <c r="C199" s="35" t="s">
        <v>23</v>
      </c>
      <c r="D199" s="35" t="s">
        <v>24</v>
      </c>
      <c r="E199" s="35" t="s">
        <v>31</v>
      </c>
      <c r="F199" s="35" t="s">
        <v>25</v>
      </c>
      <c r="G199" s="35" t="s">
        <v>25</v>
      </c>
      <c r="H199" s="35" t="s">
        <v>25</v>
      </c>
      <c r="I199" s="55">
        <v>44501</v>
      </c>
      <c r="J199" s="56">
        <f>EFEITO!$J$199*EFEITO!$Y$134</f>
        <v>0</v>
      </c>
      <c r="K199" s="56">
        <f ca="1">EFEITO!$L$199*EFEITO!$Z$210</f>
        <v>1922.9303026155612</v>
      </c>
      <c r="L199" s="56">
        <f>EFEITO!$N$199*EFEITO!$AA$210</f>
        <v>1470.6909207223246</v>
      </c>
      <c r="M199" s="56">
        <f>$J$199-EFEITO!$K$199*EFEITO!$Y$199</f>
        <v>0</v>
      </c>
      <c r="N199" s="56">
        <f ca="1">$K$199-EFEITO!$M$199*EFEITO!$Z$199</f>
        <v>920.51430926999592</v>
      </c>
      <c r="O199" s="56">
        <f>$L$199-EFEITO!$O$199*EFEITO!$AA$199</f>
        <v>147.06909207223248</v>
      </c>
      <c r="P199" s="39"/>
      <c r="Q199" s="39"/>
      <c r="R199" s="39"/>
      <c r="S199" s="39"/>
      <c r="T199" s="39"/>
      <c r="U199" s="39"/>
      <c r="V199" s="39"/>
      <c r="W199" s="3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5" t="s">
        <v>21</v>
      </c>
      <c r="B200" s="35" t="s">
        <v>22</v>
      </c>
      <c r="C200" s="35" t="s">
        <v>23</v>
      </c>
      <c r="D200" s="35" t="s">
        <v>24</v>
      </c>
      <c r="E200" s="35" t="s">
        <v>31</v>
      </c>
      <c r="F200" s="35" t="s">
        <v>25</v>
      </c>
      <c r="G200" s="35" t="s">
        <v>25</v>
      </c>
      <c r="H200" s="35" t="s">
        <v>25</v>
      </c>
      <c r="I200" s="55">
        <v>44531</v>
      </c>
      <c r="J200" s="56">
        <f>EFEITO!$J$200*EFEITO!$Y$134</f>
        <v>0</v>
      </c>
      <c r="K200" s="56">
        <f ca="1">EFEITO!$L$200*EFEITO!$Z$210</f>
        <v>2347.0802229252358</v>
      </c>
      <c r="L200" s="56">
        <f>EFEITO!$N$200*EFEITO!$AA$210</f>
        <v>1795.0882407791432</v>
      </c>
      <c r="M200" s="56">
        <f>$J$200-EFEITO!$K$200*EFEITO!$Y$200</f>
        <v>0</v>
      </c>
      <c r="N200" s="56">
        <f ca="1">$K$200-EFEITO!$M$200*EFEITO!$Z$200</f>
        <v>1123.5565466249923</v>
      </c>
      <c r="O200" s="56">
        <f>$L$200-EFEITO!$O$200*EFEITO!$AA$200</f>
        <v>179.50882407791437</v>
      </c>
      <c r="P200" s="39"/>
      <c r="Q200" s="39"/>
      <c r="R200" s="39"/>
      <c r="S200" s="39"/>
      <c r="T200" s="39"/>
      <c r="U200" s="39"/>
      <c r="V200" s="39"/>
      <c r="W200" s="3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5" t="s">
        <v>21</v>
      </c>
      <c r="B201" s="35" t="s">
        <v>22</v>
      </c>
      <c r="C201" s="35" t="s">
        <v>23</v>
      </c>
      <c r="D201" s="35" t="s">
        <v>24</v>
      </c>
      <c r="E201" s="35" t="s">
        <v>31</v>
      </c>
      <c r="F201" s="35" t="s">
        <v>25</v>
      </c>
      <c r="G201" s="35" t="s">
        <v>25</v>
      </c>
      <c r="H201" s="35" t="s">
        <v>25</v>
      </c>
      <c r="I201" s="55">
        <v>44562</v>
      </c>
      <c r="J201" s="56">
        <f>EFEITO!$J$201*EFEITO!$Y$134</f>
        <v>0</v>
      </c>
      <c r="K201" s="56">
        <f ca="1">EFEITO!$L$201*EFEITO!$Z$210</f>
        <v>2639.2332800679992</v>
      </c>
      <c r="L201" s="56">
        <f>EFEITO!$N$201*EFEITO!$AA$210</f>
        <v>2018.5320379967031</v>
      </c>
      <c r="M201" s="56">
        <f>$J$201-EFEITO!$K$201*EFEITO!$Y$201</f>
        <v>0</v>
      </c>
      <c r="N201" s="56">
        <f ca="1">$K$201-EFEITO!$M$201*EFEITO!$Z$201</f>
        <v>1263.4113657159855</v>
      </c>
      <c r="O201" s="56">
        <f>$L$201-EFEITO!$O$201*EFEITO!$AA$201</f>
        <v>201.85320379967038</v>
      </c>
      <c r="P201" s="39"/>
      <c r="Q201" s="39"/>
      <c r="R201" s="39"/>
      <c r="S201" s="39"/>
      <c r="T201" s="39"/>
      <c r="U201" s="39"/>
      <c r="V201" s="39"/>
      <c r="W201" s="3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5" t="s">
        <v>21</v>
      </c>
      <c r="B202" s="35" t="s">
        <v>22</v>
      </c>
      <c r="C202" s="35" t="s">
        <v>23</v>
      </c>
      <c r="D202" s="35" t="s">
        <v>24</v>
      </c>
      <c r="E202" s="35" t="s">
        <v>31</v>
      </c>
      <c r="F202" s="35" t="s">
        <v>25</v>
      </c>
      <c r="G202" s="35" t="s">
        <v>25</v>
      </c>
      <c r="H202" s="35" t="s">
        <v>25</v>
      </c>
      <c r="I202" s="55">
        <v>44593</v>
      </c>
      <c r="J202" s="56">
        <f>EFEITO!$J$202*EFEITO!$Y$134</f>
        <v>0</v>
      </c>
      <c r="K202" s="56">
        <f ca="1">EFEITO!$L$202*EFEITO!$Z$210</f>
        <v>2536.8037142504759</v>
      </c>
      <c r="L202" s="56">
        <f>EFEITO!$N$202*EFEITO!$AA$210</f>
        <v>1940.1921042734382</v>
      </c>
      <c r="M202" s="56">
        <f>$J$202-EFEITO!$K$202*EFEITO!$Y$202</f>
        <v>0</v>
      </c>
      <c r="N202" s="56">
        <f ca="1">$K$202-EFEITO!$M$202*EFEITO!$Z$202</f>
        <v>1214.3779291431192</v>
      </c>
      <c r="O202" s="56">
        <f>$L$202-EFEITO!$O$202*EFEITO!$AA$202</f>
        <v>194.01921042734398</v>
      </c>
      <c r="P202" s="39"/>
      <c r="Q202" s="39"/>
      <c r="R202" s="39"/>
      <c r="S202" s="39"/>
      <c r="T202" s="39"/>
      <c r="U202" s="39"/>
      <c r="V202" s="39"/>
      <c r="W202" s="3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5" t="s">
        <v>21</v>
      </c>
      <c r="B203" s="35" t="s">
        <v>22</v>
      </c>
      <c r="C203" s="35" t="s">
        <v>23</v>
      </c>
      <c r="D203" s="35" t="s">
        <v>24</v>
      </c>
      <c r="E203" s="35" t="s">
        <v>31</v>
      </c>
      <c r="F203" s="35" t="s">
        <v>25</v>
      </c>
      <c r="G203" s="35" t="s">
        <v>25</v>
      </c>
      <c r="H203" s="35" t="s">
        <v>25</v>
      </c>
      <c r="I203" s="55">
        <v>44621</v>
      </c>
      <c r="J203" s="56">
        <f>EFEITO!$J$203*EFEITO!$Y$134</f>
        <v>0</v>
      </c>
      <c r="K203" s="56">
        <f ca="1">EFEITO!$L$203*EFEITO!$Z$210</f>
        <v>2762.7823439922281</v>
      </c>
      <c r="L203" s="56">
        <f>EFEITO!$N$203*EFEITO!$AA$210</f>
        <v>2113.0245353742494</v>
      </c>
      <c r="M203" s="56">
        <f>$J$203-EFEITO!$K$203*EFEITO!$Y$203</f>
        <v>0</v>
      </c>
      <c r="N203" s="56">
        <f ca="1">$K$203-EFEITO!$M$203*EFEITO!$Z$203</f>
        <v>1322.5547892110926</v>
      </c>
      <c r="O203" s="56">
        <f>$L$203-EFEITO!$O$203*EFEITO!$AA$203</f>
        <v>211.30245353742475</v>
      </c>
      <c r="P203" s="39"/>
      <c r="Q203" s="39"/>
      <c r="R203" s="39"/>
      <c r="S203" s="39"/>
      <c r="T203" s="39"/>
      <c r="U203" s="39"/>
      <c r="V203" s="39"/>
      <c r="W203" s="3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5" t="s">
        <v>21</v>
      </c>
      <c r="B204" s="35" t="s">
        <v>22</v>
      </c>
      <c r="C204" s="35" t="s">
        <v>23</v>
      </c>
      <c r="D204" s="35" t="s">
        <v>24</v>
      </c>
      <c r="E204" s="35" t="s">
        <v>31</v>
      </c>
      <c r="F204" s="35" t="s">
        <v>25</v>
      </c>
      <c r="G204" s="35" t="s">
        <v>25</v>
      </c>
      <c r="H204" s="35" t="s">
        <v>25</v>
      </c>
      <c r="I204" s="55">
        <v>44652</v>
      </c>
      <c r="J204" s="56">
        <f>EFEITO!$J$204*EFEITO!$Y$134</f>
        <v>0</v>
      </c>
      <c r="K204" s="56">
        <f ca="1">EFEITO!$L$204*EFEITO!$Z$210</f>
        <v>2797.2775242331804</v>
      </c>
      <c r="L204" s="56">
        <f>EFEITO!$N$204*EFEITO!$AA$210</f>
        <v>2139.4070560095761</v>
      </c>
      <c r="M204" s="56">
        <f>$J$204-EFEITO!$K$204*EFEITO!$Y$204</f>
        <v>0</v>
      </c>
      <c r="N204" s="56">
        <f ca="1">$K$204-EFEITO!$M$204*EFEITO!$Z$204</f>
        <v>1339.0677678507523</v>
      </c>
      <c r="O204" s="56">
        <f>$L$204-EFEITO!$O$204*EFEITO!$AA$204</f>
        <v>213.94070560095793</v>
      </c>
      <c r="P204" s="39"/>
      <c r="Q204" s="39"/>
      <c r="R204" s="39"/>
      <c r="S204" s="39"/>
      <c r="T204" s="39"/>
      <c r="U204" s="39"/>
      <c r="V204" s="39"/>
      <c r="W204" s="3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5" t="s">
        <v>21</v>
      </c>
      <c r="B205" s="35" t="s">
        <v>22</v>
      </c>
      <c r="C205" s="35" t="s">
        <v>23</v>
      </c>
      <c r="D205" s="35" t="s">
        <v>24</v>
      </c>
      <c r="E205" s="35" t="s">
        <v>31</v>
      </c>
      <c r="F205" s="35" t="s">
        <v>25</v>
      </c>
      <c r="G205" s="35" t="s">
        <v>25</v>
      </c>
      <c r="H205" s="35" t="s">
        <v>25</v>
      </c>
      <c r="I205" s="55">
        <v>44682</v>
      </c>
      <c r="J205" s="56">
        <f>EFEITO!$J$205*EFEITO!$Y$134</f>
        <v>0</v>
      </c>
      <c r="K205" s="56">
        <f ca="1">EFEITO!$L$205*EFEITO!$Z$210</f>
        <v>2250.2825232695009</v>
      </c>
      <c r="L205" s="56">
        <f>EFEITO!$N$205*EFEITO!$AA$210</f>
        <v>1721.0556573636866</v>
      </c>
      <c r="M205" s="56">
        <f>$J$205-EFEITO!$K$205*EFEITO!$Y$205</f>
        <v>0</v>
      </c>
      <c r="N205" s="56">
        <f ca="1">$K$205-EFEITO!$M$205*EFEITO!$Z$205</f>
        <v>1077.2191065647237</v>
      </c>
      <c r="O205" s="56">
        <f>$L$205-EFEITO!$O$205*EFEITO!$AA$205</f>
        <v>172.10556573636859</v>
      </c>
      <c r="P205" s="39"/>
      <c r="Q205" s="39"/>
      <c r="R205" s="39"/>
      <c r="S205" s="39"/>
      <c r="T205" s="39"/>
      <c r="U205" s="39"/>
      <c r="V205" s="39"/>
      <c r="W205" s="3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5" t="s">
        <v>21</v>
      </c>
      <c r="B206" s="35" t="s">
        <v>22</v>
      </c>
      <c r="C206" s="35" t="s">
        <v>23</v>
      </c>
      <c r="D206" s="35" t="s">
        <v>24</v>
      </c>
      <c r="E206" s="35" t="s">
        <v>31</v>
      </c>
      <c r="F206" s="35" t="s">
        <v>25</v>
      </c>
      <c r="G206" s="35" t="s">
        <v>25</v>
      </c>
      <c r="H206" s="35" t="s">
        <v>25</v>
      </c>
      <c r="I206" s="55">
        <v>44713</v>
      </c>
      <c r="J206" s="56">
        <f>EFEITO!$J$206*EFEITO!$Y$134</f>
        <v>0</v>
      </c>
      <c r="K206" s="56">
        <f ca="1">EFEITO!$L$206*EFEITO!$Z$210</f>
        <v>2809.9492230972041</v>
      </c>
      <c r="L206" s="56">
        <f>EFEITO!$N$206*EFEITO!$AA$210</f>
        <v>2149.0985942021448</v>
      </c>
      <c r="M206" s="56">
        <f>$J$206-EFEITO!$K$206*EFEITO!$Y$206</f>
        <v>0</v>
      </c>
      <c r="N206" s="56">
        <f ca="1">$K$206-EFEITO!$M$206*EFEITO!$Z$206</f>
        <v>1345.1337600040965</v>
      </c>
      <c r="O206" s="56">
        <f>$L$206-EFEITO!$O$206*EFEITO!$AA$206</f>
        <v>214.90985942021462</v>
      </c>
      <c r="P206" s="39"/>
      <c r="Q206" s="39"/>
      <c r="R206" s="39"/>
      <c r="S206" s="39"/>
      <c r="T206" s="39"/>
      <c r="U206" s="39"/>
      <c r="V206" s="39"/>
      <c r="W206" s="3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5" t="s">
        <v>27</v>
      </c>
      <c r="B207" s="35" t="s">
        <v>22</v>
      </c>
      <c r="C207" s="35" t="s">
        <v>23</v>
      </c>
      <c r="D207" s="35" t="s">
        <v>24</v>
      </c>
      <c r="E207" s="35" t="s">
        <v>31</v>
      </c>
      <c r="F207" s="35" t="s">
        <v>25</v>
      </c>
      <c r="G207" s="35" t="s">
        <v>25</v>
      </c>
      <c r="H207" s="35" t="s">
        <v>25</v>
      </c>
      <c r="I207" s="55">
        <v>44713</v>
      </c>
      <c r="J207" s="56">
        <f>EFEITO!$J$207*EFEITO!$Y$134</f>
        <v>0</v>
      </c>
      <c r="K207" s="56">
        <f ca="1">EFEITO!$L$207*EFEITO!$Z$210</f>
        <v>84.477992426823121</v>
      </c>
      <c r="L207" s="56">
        <f>EFEITO!$N$207*EFEITO!$AA$210</f>
        <v>64.610254617125733</v>
      </c>
      <c r="M207" s="56">
        <f>$J$207-EFEITO!$K$207*EFEITO!$Y$207</f>
        <v>0</v>
      </c>
      <c r="N207" s="56">
        <f ca="1">$K$207-EFEITO!$M$207*EFEITO!$Z$207</f>
        <v>40.439947688961936</v>
      </c>
      <c r="O207" s="56">
        <f>$L$207-EFEITO!$O$207*EFEITO!$AA$207</f>
        <v>6.4610254617125733</v>
      </c>
      <c r="P207" s="39"/>
      <c r="Q207" s="39"/>
      <c r="R207" s="39"/>
      <c r="S207" s="39"/>
      <c r="T207" s="39"/>
      <c r="U207" s="39"/>
      <c r="V207" s="39"/>
      <c r="W207" s="3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5" t="s">
        <v>21</v>
      </c>
      <c r="B208" s="35" t="s">
        <v>22</v>
      </c>
      <c r="C208" s="35" t="s">
        <v>23</v>
      </c>
      <c r="D208" s="35" t="s">
        <v>24</v>
      </c>
      <c r="E208" s="35" t="s">
        <v>31</v>
      </c>
      <c r="F208" s="35" t="s">
        <v>25</v>
      </c>
      <c r="G208" s="35" t="s">
        <v>25</v>
      </c>
      <c r="H208" s="35" t="s">
        <v>25</v>
      </c>
      <c r="I208" s="55">
        <v>44743</v>
      </c>
      <c r="J208" s="56">
        <f>EFEITO!$J$208*EFEITO!$Y$134</f>
        <v>0</v>
      </c>
      <c r="K208" s="56">
        <f ca="1">EFEITO!$L$208*EFEITO!$Z$210</f>
        <v>2592.4183925981347</v>
      </c>
      <c r="L208" s="56">
        <f>EFEITO!$N$208*EFEITO!$AA$210</f>
        <v>1982.727188563046</v>
      </c>
      <c r="M208" s="56">
        <f>$J$208-EFEITO!$K$208*EFEITO!$Y$208</f>
        <v>0</v>
      </c>
      <c r="N208" s="56">
        <f ca="1">$K$208-EFEITO!$M$208*EFEITO!$Z$208</f>
        <v>1241.0008947050196</v>
      </c>
      <c r="O208" s="56">
        <f>$L$208-EFEITO!$O$208*EFEITO!$AA$208</f>
        <v>198.27271885630466</v>
      </c>
      <c r="P208" s="39"/>
      <c r="Q208" s="39"/>
      <c r="R208" s="39"/>
      <c r="S208" s="39"/>
      <c r="T208" s="39"/>
      <c r="U208" s="39"/>
      <c r="V208" s="39"/>
      <c r="W208" s="3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5" t="s">
        <v>21</v>
      </c>
      <c r="B209" s="35" t="s">
        <v>22</v>
      </c>
      <c r="C209" s="35" t="s">
        <v>23</v>
      </c>
      <c r="D209" s="35" t="s">
        <v>24</v>
      </c>
      <c r="E209" s="35" t="s">
        <v>31</v>
      </c>
      <c r="F209" s="35" t="s">
        <v>25</v>
      </c>
      <c r="G209" s="35" t="s">
        <v>25</v>
      </c>
      <c r="H209" s="35" t="s">
        <v>25</v>
      </c>
      <c r="I209" s="55">
        <v>44774</v>
      </c>
      <c r="J209" s="56">
        <f>EFEITO!$J$209*EFEITO!$Y$134</f>
        <v>0</v>
      </c>
      <c r="K209" s="56">
        <f ca="1">EFEITO!$L$209*EFEITO!$Z$210</f>
        <v>2538.5636724260348</v>
      </c>
      <c r="L209" s="56">
        <f>EFEITO!$N$209*EFEITO!$AA$210</f>
        <v>1941.5381512446281</v>
      </c>
      <c r="M209" s="56">
        <f>$J$209-EFEITO!$K$209*EFEITO!$Y$209</f>
        <v>0</v>
      </c>
      <c r="N209" s="56">
        <f ca="1">$K$209-EFEITO!$M$209*EFEITO!$Z$209</f>
        <v>1215.220428053306</v>
      </c>
      <c r="O209" s="56">
        <f>$L$209-EFEITO!$O$209*EFEITO!$AA$209</f>
        <v>194.15381512446265</v>
      </c>
      <c r="P209" s="39"/>
      <c r="Q209" s="39"/>
      <c r="R209" s="39"/>
      <c r="S209" s="39"/>
      <c r="T209" s="39"/>
      <c r="U209" s="39"/>
      <c r="V209" s="39"/>
      <c r="W209" s="3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5" t="s">
        <v>21</v>
      </c>
      <c r="B210" s="35" t="s">
        <v>22</v>
      </c>
      <c r="C210" s="35" t="s">
        <v>23</v>
      </c>
      <c r="D210" s="35" t="s">
        <v>24</v>
      </c>
      <c r="E210" s="35" t="s">
        <v>32</v>
      </c>
      <c r="F210" s="35" t="s">
        <v>25</v>
      </c>
      <c r="G210" s="35" t="s">
        <v>25</v>
      </c>
      <c r="H210" s="35" t="s">
        <v>25</v>
      </c>
      <c r="I210" s="55">
        <v>44440</v>
      </c>
      <c r="J210" s="56">
        <f>EFEITO!$J$210*EFEITO!$Y$134</f>
        <v>0</v>
      </c>
      <c r="K210" s="56">
        <f ca="1">EFEITO!$L$210*EFEITO!$Z$210</f>
        <v>68.638368846793782</v>
      </c>
      <c r="L210" s="56">
        <f>EFEITO!$N$210*EFEITO!$AA$210</f>
        <v>52.495831876414663</v>
      </c>
      <c r="M210" s="56">
        <f>$J$210-EFEITO!$K$210*EFEITO!$Y$210</f>
        <v>0</v>
      </c>
      <c r="N210" s="56">
        <f ca="1">$K$210-EFEITO!$M$210*EFEITO!$Z$210</f>
        <v>25.9936206126022</v>
      </c>
      <c r="O210" s="56">
        <f>$L$210-EFEITO!$O$210*EFEITO!$AA$210</f>
        <v>0</v>
      </c>
      <c r="P210" s="39"/>
      <c r="Q210" s="39"/>
      <c r="R210" s="39"/>
      <c r="S210" s="39"/>
      <c r="T210" s="39"/>
      <c r="U210" s="39"/>
      <c r="V210" s="39"/>
      <c r="W210" s="3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5" t="s">
        <v>21</v>
      </c>
      <c r="B211" s="35" t="s">
        <v>22</v>
      </c>
      <c r="C211" s="35" t="s">
        <v>23</v>
      </c>
      <c r="D211" s="35" t="s">
        <v>24</v>
      </c>
      <c r="E211" s="35" t="s">
        <v>32</v>
      </c>
      <c r="F211" s="35" t="s">
        <v>25</v>
      </c>
      <c r="G211" s="35" t="s">
        <v>25</v>
      </c>
      <c r="H211" s="35" t="s">
        <v>25</v>
      </c>
      <c r="I211" s="55">
        <v>44470</v>
      </c>
      <c r="J211" s="56">
        <f>EFEITO!$J$211*EFEITO!$Y$134</f>
        <v>0</v>
      </c>
      <c r="K211" s="56">
        <f ca="1">EFEITO!$L$211*EFEITO!$Z$210</f>
        <v>402.67843056785682</v>
      </c>
      <c r="L211" s="56">
        <f>EFEITO!$N$211*EFEITO!$AA$210</f>
        <v>307.97554700829932</v>
      </c>
      <c r="M211" s="56">
        <f>$J$211-EFEITO!$K$211*EFEITO!$Y$211</f>
        <v>0</v>
      </c>
      <c r="N211" s="56">
        <f ca="1">$K$211-EFEITO!$M$211*EFEITO!$Z$211</f>
        <v>152.49590759393288</v>
      </c>
      <c r="O211" s="56">
        <f>$L$211-EFEITO!$O$211*EFEITO!$AA$211</f>
        <v>0</v>
      </c>
      <c r="P211" s="39"/>
      <c r="Q211" s="39"/>
      <c r="R211" s="39"/>
      <c r="S211" s="39"/>
      <c r="T211" s="39"/>
      <c r="U211" s="39"/>
      <c r="V211" s="39"/>
      <c r="W211" s="3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5" t="s">
        <v>27</v>
      </c>
      <c r="B212" s="35" t="s">
        <v>22</v>
      </c>
      <c r="C212" s="35" t="s">
        <v>23</v>
      </c>
      <c r="D212" s="35" t="s">
        <v>24</v>
      </c>
      <c r="E212" s="35" t="s">
        <v>32</v>
      </c>
      <c r="F212" s="35" t="s">
        <v>25</v>
      </c>
      <c r="G212" s="35" t="s">
        <v>25</v>
      </c>
      <c r="H212" s="35" t="s">
        <v>25</v>
      </c>
      <c r="I212" s="55">
        <v>44470</v>
      </c>
      <c r="J212" s="56">
        <f>EFEITO!$J$212*EFEITO!$Y$134</f>
        <v>0</v>
      </c>
      <c r="K212" s="56">
        <f ca="1">EFEITO!$L$212*EFEITO!$Z$210</f>
        <v>-80.958076075705492</v>
      </c>
      <c r="L212" s="56">
        <f>EFEITO!$N$212*EFEITO!$AA$210</f>
        <v>-61.918160674745501</v>
      </c>
      <c r="M212" s="56">
        <f>$J$212-EFEITO!$K$212*EFEITO!$Y$212</f>
        <v>0</v>
      </c>
      <c r="N212" s="56">
        <f ca="1">$K$212-EFEITO!$M$212*EFEITO!$Z$212</f>
        <v>-30.659142261017976</v>
      </c>
      <c r="O212" s="56">
        <f>$L$212-EFEITO!$O$212*EFEITO!$AA$212</f>
        <v>0</v>
      </c>
      <c r="P212" s="39"/>
      <c r="Q212" s="39"/>
      <c r="R212" s="39"/>
      <c r="S212" s="39"/>
      <c r="T212" s="39"/>
      <c r="U212" s="39"/>
      <c r="V212" s="39"/>
      <c r="W212" s="3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5" t="s">
        <v>21</v>
      </c>
      <c r="B213" s="35" t="s">
        <v>22</v>
      </c>
      <c r="C213" s="35" t="s">
        <v>23</v>
      </c>
      <c r="D213" s="35" t="s">
        <v>24</v>
      </c>
      <c r="E213" s="35" t="s">
        <v>32</v>
      </c>
      <c r="F213" s="35" t="s">
        <v>25</v>
      </c>
      <c r="G213" s="35" t="s">
        <v>25</v>
      </c>
      <c r="H213" s="35" t="s">
        <v>25</v>
      </c>
      <c r="I213" s="55">
        <v>44501</v>
      </c>
      <c r="J213" s="56">
        <f>EFEITO!$J$213*EFEITO!$Y$134</f>
        <v>0</v>
      </c>
      <c r="K213" s="56">
        <f ca="1">EFEITO!$L$213*EFEITO!$Z$210</f>
        <v>362.55138416511591</v>
      </c>
      <c r="L213" s="56">
        <f>EFEITO!$N$213*EFEITO!$AA$210</f>
        <v>277.28567606516464</v>
      </c>
      <c r="M213" s="56">
        <f>$J$213-EFEITO!$K$213*EFEITO!$Y$213</f>
        <v>0</v>
      </c>
      <c r="N213" s="56">
        <f ca="1">$K$213-EFEITO!$M$213*EFEITO!$Z$213</f>
        <v>137.2996370819501</v>
      </c>
      <c r="O213" s="56">
        <f>$L$213-EFEITO!$O$213*EFEITO!$AA$213</f>
        <v>0</v>
      </c>
      <c r="P213" s="39"/>
      <c r="Q213" s="39"/>
      <c r="R213" s="39"/>
      <c r="S213" s="39"/>
      <c r="T213" s="39"/>
      <c r="U213" s="39"/>
      <c r="V213" s="39"/>
      <c r="W213" s="3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5" t="s">
        <v>21</v>
      </c>
      <c r="B214" s="35" t="s">
        <v>22</v>
      </c>
      <c r="C214" s="35" t="s">
        <v>23</v>
      </c>
      <c r="D214" s="35" t="s">
        <v>24</v>
      </c>
      <c r="E214" s="35" t="s">
        <v>32</v>
      </c>
      <c r="F214" s="35" t="s">
        <v>25</v>
      </c>
      <c r="G214" s="35" t="s">
        <v>25</v>
      </c>
      <c r="H214" s="35" t="s">
        <v>25</v>
      </c>
      <c r="I214" s="55">
        <v>44531</v>
      </c>
      <c r="J214" s="56">
        <f>EFEITO!$J$214*EFEITO!$Y$134</f>
        <v>0</v>
      </c>
      <c r="K214" s="56">
        <f ca="1">EFEITO!$L$214*EFEITO!$Z$210</f>
        <v>561.07466636815025</v>
      </c>
      <c r="L214" s="56">
        <f>EFEITO!$N$214*EFEITO!$AA$210</f>
        <v>429.11977441541012</v>
      </c>
      <c r="M214" s="56">
        <f>$J$214-EFEITO!$K$214*EFEITO!$Y$214</f>
        <v>0</v>
      </c>
      <c r="N214" s="56">
        <f ca="1">$K$214-EFEITO!$M$214*EFEITO!$Z$214</f>
        <v>212.48118593070728</v>
      </c>
      <c r="O214" s="56">
        <f>$L$214-EFEITO!$O$214*EFEITO!$AA$214</f>
        <v>0</v>
      </c>
      <c r="P214" s="39"/>
      <c r="Q214" s="39"/>
      <c r="R214" s="39"/>
      <c r="S214" s="39"/>
      <c r="T214" s="39"/>
      <c r="U214" s="39"/>
      <c r="V214" s="39"/>
      <c r="W214" s="3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5" t="s">
        <v>21</v>
      </c>
      <c r="B215" s="35" t="s">
        <v>22</v>
      </c>
      <c r="C215" s="35" t="s">
        <v>23</v>
      </c>
      <c r="D215" s="35" t="s">
        <v>24</v>
      </c>
      <c r="E215" s="35" t="s">
        <v>32</v>
      </c>
      <c r="F215" s="35" t="s">
        <v>25</v>
      </c>
      <c r="G215" s="35" t="s">
        <v>25</v>
      </c>
      <c r="H215" s="35" t="s">
        <v>25</v>
      </c>
      <c r="I215" s="55">
        <v>44562</v>
      </c>
      <c r="J215" s="56">
        <f>EFEITO!$J$215*EFEITO!$Y$134</f>
        <v>0</v>
      </c>
      <c r="K215" s="56">
        <f ca="1">EFEITO!$L$215*EFEITO!$Z$210</f>
        <v>858.85958967270176</v>
      </c>
      <c r="L215" s="56">
        <f>EFEITO!$N$215*EFEITO!$AA$210</f>
        <v>656.87092194077832</v>
      </c>
      <c r="M215" s="56">
        <f>$J$215-EFEITO!$K$215*EFEITO!$Y$215</f>
        <v>0</v>
      </c>
      <c r="N215" s="56">
        <f ca="1">$K$215-EFEITO!$M$215*EFEITO!$Z$215</f>
        <v>325.2535092038429</v>
      </c>
      <c r="O215" s="56">
        <f>$L$215-EFEITO!$O$215*EFEITO!$AA$215</f>
        <v>0</v>
      </c>
      <c r="P215" s="39"/>
      <c r="Q215" s="39"/>
      <c r="R215" s="39"/>
      <c r="S215" s="39"/>
      <c r="T215" s="39"/>
      <c r="U215" s="39"/>
      <c r="V215" s="39"/>
      <c r="W215" s="3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5" t="s">
        <v>21</v>
      </c>
      <c r="B216" s="35" t="s">
        <v>22</v>
      </c>
      <c r="C216" s="35" t="s">
        <v>23</v>
      </c>
      <c r="D216" s="35" t="s">
        <v>24</v>
      </c>
      <c r="E216" s="35" t="s">
        <v>32</v>
      </c>
      <c r="F216" s="35" t="s">
        <v>25</v>
      </c>
      <c r="G216" s="35" t="s">
        <v>25</v>
      </c>
      <c r="H216" s="35" t="s">
        <v>25</v>
      </c>
      <c r="I216" s="55">
        <v>44593</v>
      </c>
      <c r="J216" s="56">
        <f>EFEITO!$J$216*EFEITO!$Y$134</f>
        <v>0</v>
      </c>
      <c r="K216" s="56">
        <f ca="1">EFEITO!$L$216*EFEITO!$Z$210</f>
        <v>747.98222461249634</v>
      </c>
      <c r="L216" s="56">
        <f>EFEITO!$N$216*EFEITO!$AA$210</f>
        <v>572.06996275580082</v>
      </c>
      <c r="M216" s="56">
        <f>$J$216-EFEITO!$K$216*EFEITO!$Y$216</f>
        <v>0</v>
      </c>
      <c r="N216" s="56">
        <f ca="1">$K$216-EFEITO!$M$216*EFEITO!$Z$216</f>
        <v>283.26381436810084</v>
      </c>
      <c r="O216" s="56">
        <f>$L$216-EFEITO!$O$216*EFEITO!$AA$216</f>
        <v>0</v>
      </c>
      <c r="P216" s="39"/>
      <c r="Q216" s="39"/>
      <c r="R216" s="39"/>
      <c r="S216" s="39"/>
      <c r="T216" s="39"/>
      <c r="U216" s="39"/>
      <c r="V216" s="39"/>
      <c r="W216" s="3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5" t="s">
        <v>21</v>
      </c>
      <c r="B217" s="35" t="s">
        <v>22</v>
      </c>
      <c r="C217" s="35" t="s">
        <v>23</v>
      </c>
      <c r="D217" s="35" t="s">
        <v>24</v>
      </c>
      <c r="E217" s="35" t="s">
        <v>32</v>
      </c>
      <c r="F217" s="35" t="s">
        <v>25</v>
      </c>
      <c r="G217" s="35" t="s">
        <v>25</v>
      </c>
      <c r="H217" s="35" t="s">
        <v>25</v>
      </c>
      <c r="I217" s="55">
        <v>44621</v>
      </c>
      <c r="J217" s="56">
        <f>EFEITO!$J$217*EFEITO!$Y$134</f>
        <v>0</v>
      </c>
      <c r="K217" s="56">
        <f ca="1">EFEITO!$L$217*EFEITO!$Z$210</f>
        <v>919.05015927681325</v>
      </c>
      <c r="L217" s="56">
        <f>EFEITO!$N$217*EFEITO!$AA$210</f>
        <v>702.90572835548039</v>
      </c>
      <c r="M217" s="56">
        <f>$J$217-EFEITO!$K$217*EFEITO!$Y$217</f>
        <v>0</v>
      </c>
      <c r="N217" s="56">
        <f ca="1">$K$217-EFEITO!$M$217*EFEITO!$Z$217</f>
        <v>348.04791497181714</v>
      </c>
      <c r="O217" s="56">
        <f>$L$217-EFEITO!$O$217*EFEITO!$AA$217</f>
        <v>0</v>
      </c>
      <c r="P217" s="39"/>
      <c r="Q217" s="39"/>
      <c r="R217" s="39"/>
      <c r="S217" s="39"/>
      <c r="T217" s="39"/>
      <c r="U217" s="39"/>
      <c r="V217" s="39"/>
      <c r="W217" s="3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5" t="s">
        <v>21</v>
      </c>
      <c r="B218" s="35" t="s">
        <v>22</v>
      </c>
      <c r="C218" s="35" t="s">
        <v>23</v>
      </c>
      <c r="D218" s="35" t="s">
        <v>24</v>
      </c>
      <c r="E218" s="35" t="s">
        <v>32</v>
      </c>
      <c r="F218" s="35" t="s">
        <v>25</v>
      </c>
      <c r="G218" s="35" t="s">
        <v>25</v>
      </c>
      <c r="H218" s="35" t="s">
        <v>25</v>
      </c>
      <c r="I218" s="55">
        <v>44652</v>
      </c>
      <c r="J218" s="56">
        <f>EFEITO!$J$218*EFEITO!$Y$134</f>
        <v>0</v>
      </c>
      <c r="K218" s="56">
        <f ca="1">EFEITO!$L$218*EFEITO!$Z$210</f>
        <v>724.75077669512007</v>
      </c>
      <c r="L218" s="56">
        <f>EFEITO!$N$218*EFEITO!$AA$210</f>
        <v>554.30214273609124</v>
      </c>
      <c r="M218" s="56">
        <f>$J$218-EFEITO!$K$218*EFEITO!$Y$218</f>
        <v>0</v>
      </c>
      <c r="N218" s="56">
        <f ca="1">$K$218-EFEITO!$M$218*EFEITO!$Z$218</f>
        <v>274.46597354537403</v>
      </c>
      <c r="O218" s="56">
        <f>$L$218-EFEITO!$O$218*EFEITO!$AA$218</f>
        <v>0</v>
      </c>
      <c r="P218" s="39"/>
      <c r="Q218" s="39"/>
      <c r="R218" s="39"/>
      <c r="S218" s="39"/>
      <c r="T218" s="39"/>
      <c r="U218" s="39"/>
      <c r="V218" s="39"/>
      <c r="W218" s="3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5" t="s">
        <v>21</v>
      </c>
      <c r="B219" s="35" t="s">
        <v>22</v>
      </c>
      <c r="C219" s="35" t="s">
        <v>23</v>
      </c>
      <c r="D219" s="35" t="s">
        <v>24</v>
      </c>
      <c r="E219" s="35" t="s">
        <v>32</v>
      </c>
      <c r="F219" s="35" t="s">
        <v>25</v>
      </c>
      <c r="G219" s="35" t="s">
        <v>25</v>
      </c>
      <c r="H219" s="35" t="s">
        <v>25</v>
      </c>
      <c r="I219" s="55">
        <v>44682</v>
      </c>
      <c r="J219" s="56">
        <f>EFEITO!$J$219*EFEITO!$Y$134</f>
        <v>0</v>
      </c>
      <c r="K219" s="56">
        <f ca="1">EFEITO!$L$219*EFEITO!$Z$210</f>
        <v>506.16397129071515</v>
      </c>
      <c r="L219" s="56">
        <f>EFEITO!$N$219*EFEITO!$AA$210</f>
        <v>387.12310891427836</v>
      </c>
      <c r="M219" s="56">
        <f>$J$219-EFEITO!$K$219*EFEITO!$Y$219</f>
        <v>0</v>
      </c>
      <c r="N219" s="56">
        <f ca="1">$K$219-EFEITO!$M$219*EFEITO!$Z$219</f>
        <v>191.6862894406255</v>
      </c>
      <c r="O219" s="56">
        <f>$L$219-EFEITO!$O$219*EFEITO!$AA$219</f>
        <v>0</v>
      </c>
      <c r="P219" s="39"/>
      <c r="Q219" s="39"/>
      <c r="R219" s="39"/>
      <c r="S219" s="39"/>
      <c r="T219" s="39"/>
      <c r="U219" s="39"/>
      <c r="V219" s="39"/>
      <c r="W219" s="3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5" t="s">
        <v>21</v>
      </c>
      <c r="B220" s="35" t="s">
        <v>22</v>
      </c>
      <c r="C220" s="35" t="s">
        <v>23</v>
      </c>
      <c r="D220" s="35" t="s">
        <v>24</v>
      </c>
      <c r="E220" s="35" t="s">
        <v>32</v>
      </c>
      <c r="F220" s="35" t="s">
        <v>25</v>
      </c>
      <c r="G220" s="35" t="s">
        <v>25</v>
      </c>
      <c r="H220" s="35" t="s">
        <v>25</v>
      </c>
      <c r="I220" s="55">
        <v>44713</v>
      </c>
      <c r="J220" s="56">
        <f>EFEITO!$J$220*EFEITO!$Y$134</f>
        <v>0</v>
      </c>
      <c r="K220" s="56">
        <f ca="1">EFEITO!$L$220*EFEITO!$Z$210</f>
        <v>629.00905194472045</v>
      </c>
      <c r="L220" s="56">
        <f>EFEITO!$N$220*EFEITO!$AA$210</f>
        <v>481.07718750334868</v>
      </c>
      <c r="M220" s="56">
        <f>$J$220-EFEITO!$K$220*EFEITO!$Y$220</f>
        <v>0</v>
      </c>
      <c r="N220" s="56">
        <f ca="1">$K$220-EFEITO!$M$220*EFEITO!$Z$220</f>
        <v>238.20820530625701</v>
      </c>
      <c r="O220" s="56">
        <f>$L$220-EFEITO!$O$220*EFEITO!$AA$220</f>
        <v>0</v>
      </c>
      <c r="P220" s="39"/>
      <c r="Q220" s="39"/>
      <c r="R220" s="39"/>
      <c r="S220" s="39"/>
      <c r="T220" s="39"/>
      <c r="U220" s="39"/>
      <c r="V220" s="39"/>
      <c r="W220" s="3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5" t="s">
        <v>27</v>
      </c>
      <c r="B221" s="35" t="s">
        <v>22</v>
      </c>
      <c r="C221" s="35" t="s">
        <v>23</v>
      </c>
      <c r="D221" s="35" t="s">
        <v>24</v>
      </c>
      <c r="E221" s="35" t="s">
        <v>32</v>
      </c>
      <c r="F221" s="35" t="s">
        <v>25</v>
      </c>
      <c r="G221" s="35" t="s">
        <v>25</v>
      </c>
      <c r="H221" s="35" t="s">
        <v>25</v>
      </c>
      <c r="I221" s="55">
        <v>44713</v>
      </c>
      <c r="J221" s="56">
        <f>EFEITO!$J$221*EFEITO!$Y$134</f>
        <v>0</v>
      </c>
      <c r="K221" s="56">
        <f ca="1">EFEITO!$L$221*EFEITO!$Z$210</f>
        <v>153.46835290872866</v>
      </c>
      <c r="L221" s="56">
        <f>EFEITO!$N$221*EFEITO!$AA$210</f>
        <v>117.37529588777842</v>
      </c>
      <c r="M221" s="56">
        <f>$J$221-EFEITO!$K$221*EFEITO!$Y$221</f>
        <v>0</v>
      </c>
      <c r="N221" s="56">
        <f ca="1">$K$221-EFEITO!$M$221*EFEITO!$Z$221</f>
        <v>58.119069677407992</v>
      </c>
      <c r="O221" s="56">
        <f>$L$221-EFEITO!$O$221*EFEITO!$AA$221</f>
        <v>0</v>
      </c>
      <c r="P221" s="39"/>
      <c r="Q221" s="39"/>
      <c r="R221" s="39"/>
      <c r="S221" s="39"/>
      <c r="T221" s="39"/>
      <c r="U221" s="39"/>
      <c r="V221" s="39"/>
      <c r="W221" s="3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5" t="s">
        <v>21</v>
      </c>
      <c r="B222" s="35" t="s">
        <v>22</v>
      </c>
      <c r="C222" s="35" t="s">
        <v>23</v>
      </c>
      <c r="D222" s="35" t="s">
        <v>24</v>
      </c>
      <c r="E222" s="35" t="s">
        <v>32</v>
      </c>
      <c r="F222" s="35" t="s">
        <v>25</v>
      </c>
      <c r="G222" s="35" t="s">
        <v>25</v>
      </c>
      <c r="H222" s="35" t="s">
        <v>25</v>
      </c>
      <c r="I222" s="55">
        <v>44743</v>
      </c>
      <c r="J222" s="56">
        <f>EFEITO!$J$222*EFEITO!$Y$134</f>
        <v>0</v>
      </c>
      <c r="K222" s="56">
        <f ca="1">EFEITO!$L$222*EFEITO!$Z$210</f>
        <v>443.1574686057096</v>
      </c>
      <c r="L222" s="56">
        <f>EFEITO!$N$222*EFEITO!$AA$210</f>
        <v>338.93462734567203</v>
      </c>
      <c r="M222" s="56">
        <f>$J$222-EFEITO!$K$222*EFEITO!$Y$222</f>
        <v>0</v>
      </c>
      <c r="N222" s="56">
        <f ca="1">$K$222-EFEITO!$M$222*EFEITO!$Z$222</f>
        <v>167.82547872444184</v>
      </c>
      <c r="O222" s="56">
        <f>$L$222-EFEITO!$O$222*EFEITO!$AA$222</f>
        <v>0</v>
      </c>
      <c r="P222" s="39"/>
      <c r="Q222" s="39"/>
      <c r="R222" s="39"/>
      <c r="S222" s="39"/>
      <c r="T222" s="39"/>
      <c r="U222" s="39"/>
      <c r="V222" s="39"/>
      <c r="W222" s="3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5" t="s">
        <v>21</v>
      </c>
      <c r="B223" s="35" t="s">
        <v>22</v>
      </c>
      <c r="C223" s="35" t="s">
        <v>23</v>
      </c>
      <c r="D223" s="35" t="s">
        <v>24</v>
      </c>
      <c r="E223" s="35" t="s">
        <v>32</v>
      </c>
      <c r="F223" s="35" t="s">
        <v>25</v>
      </c>
      <c r="G223" s="35" t="s">
        <v>25</v>
      </c>
      <c r="H223" s="35" t="s">
        <v>25</v>
      </c>
      <c r="I223" s="55">
        <v>44774</v>
      </c>
      <c r="J223" s="56">
        <f>EFEITO!$J$223*EFEITO!$Y$134</f>
        <v>0</v>
      </c>
      <c r="K223" s="56">
        <f ca="1">EFEITO!$L$223*EFEITO!$Z$210</f>
        <v>409.01427999986856</v>
      </c>
      <c r="L223" s="56">
        <f>EFEITO!$N$223*EFEITO!$AA$210</f>
        <v>312.82131610458373</v>
      </c>
      <c r="M223" s="56">
        <f>$J$223-EFEITO!$K$223*EFEITO!$Y$223</f>
        <v>0</v>
      </c>
      <c r="N223" s="56">
        <f ca="1">$K$223-EFEITO!$M$223*EFEITO!$Z$223</f>
        <v>154.89531872740383</v>
      </c>
      <c r="O223" s="56">
        <f>$L$223-EFEITO!$O$223*EFEITO!$AA$223</f>
        <v>0</v>
      </c>
      <c r="P223" s="39"/>
      <c r="Q223" s="39"/>
      <c r="R223" s="39"/>
      <c r="S223" s="39"/>
      <c r="T223" s="39"/>
      <c r="U223" s="39"/>
      <c r="V223" s="39"/>
      <c r="W223" s="3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5" t="s">
        <v>21</v>
      </c>
      <c r="B224" s="35" t="s">
        <v>41</v>
      </c>
      <c r="C224" s="35" t="s">
        <v>23</v>
      </c>
      <c r="D224" s="35" t="s">
        <v>42</v>
      </c>
      <c r="E224" s="35" t="s">
        <v>25</v>
      </c>
      <c r="F224" s="35" t="s">
        <v>25</v>
      </c>
      <c r="G224" s="35" t="s">
        <v>25</v>
      </c>
      <c r="H224" s="35" t="s">
        <v>25</v>
      </c>
      <c r="I224" s="55">
        <v>44440</v>
      </c>
      <c r="J224" s="56">
        <f>EFEITO!$J$224*EFEITO!$Y$134</f>
        <v>0</v>
      </c>
      <c r="K224" s="56">
        <f ca="1">EFEITO!$L$224*EFEITO!$Z$134</f>
        <v>52670.224164085252</v>
      </c>
      <c r="L224" s="56">
        <f>EFEITO!$N$224*EFEITO!$AA$134</f>
        <v>29218.103184835447</v>
      </c>
      <c r="M224" s="56">
        <f>$J$224-EFEITO!$K$224*EFEITO!$Y$224</f>
        <v>0</v>
      </c>
      <c r="N224" s="56">
        <f ca="1">$K$224-EFEITO!$M$224*EFEITO!$Z$224</f>
        <v>3160.2134498451123</v>
      </c>
      <c r="O224" s="56">
        <f>$L$224-EFEITO!$O$224*EFEITO!$AA$224</f>
        <v>1753.0861910901258</v>
      </c>
      <c r="P224" s="39"/>
      <c r="Q224" s="39"/>
      <c r="R224" s="39"/>
      <c r="S224" s="39"/>
      <c r="T224" s="39"/>
      <c r="U224" s="39"/>
      <c r="V224" s="39"/>
      <c r="W224" s="3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5" t="s">
        <v>28</v>
      </c>
      <c r="B225" s="35" t="s">
        <v>41</v>
      </c>
      <c r="C225" s="35" t="s">
        <v>23</v>
      </c>
      <c r="D225" s="35" t="s">
        <v>42</v>
      </c>
      <c r="E225" s="35" t="s">
        <v>25</v>
      </c>
      <c r="F225" s="35" t="s">
        <v>25</v>
      </c>
      <c r="G225" s="35" t="s">
        <v>25</v>
      </c>
      <c r="H225" s="35" t="s">
        <v>25</v>
      </c>
      <c r="I225" s="55">
        <v>44440</v>
      </c>
      <c r="J225" s="56">
        <f>EFEITO!$J$225*EFEITO!$Y$134</f>
        <v>0</v>
      </c>
      <c r="K225" s="56">
        <f ca="1">EFEITO!$L$225*EFEITO!$Z$134</f>
        <v>205.76391554248153</v>
      </c>
      <c r="L225" s="56">
        <f>EFEITO!$N$225*EFEITO!$AA$134</f>
        <v>114.14478315692213</v>
      </c>
      <c r="M225" s="56">
        <f>$J$225-EFEITO!$K$225*EFEITO!$Y$225</f>
        <v>0</v>
      </c>
      <c r="N225" s="56">
        <f ca="1">$K$225-EFEITO!$M$225*EFEITO!$Z$225</f>
        <v>12.345834932548911</v>
      </c>
      <c r="O225" s="56">
        <f>$L$225-EFEITO!$O$225*EFEITO!$AA$225</f>
        <v>6.8486869894153273</v>
      </c>
      <c r="P225" s="39"/>
      <c r="Q225" s="39"/>
      <c r="R225" s="39"/>
      <c r="S225" s="39"/>
      <c r="T225" s="39"/>
      <c r="U225" s="39"/>
      <c r="V225" s="39"/>
      <c r="W225" s="3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5" t="s">
        <v>21</v>
      </c>
      <c r="B226" s="35" t="s">
        <v>41</v>
      </c>
      <c r="C226" s="35" t="s">
        <v>23</v>
      </c>
      <c r="D226" s="35" t="s">
        <v>42</v>
      </c>
      <c r="E226" s="35" t="s">
        <v>25</v>
      </c>
      <c r="F226" s="35" t="s">
        <v>25</v>
      </c>
      <c r="G226" s="35" t="s">
        <v>25</v>
      </c>
      <c r="H226" s="35" t="s">
        <v>25</v>
      </c>
      <c r="I226" s="55">
        <v>44470</v>
      </c>
      <c r="J226" s="56">
        <f>EFEITO!$J$226*EFEITO!$Y$134</f>
        <v>0</v>
      </c>
      <c r="K226" s="56">
        <f ca="1">EFEITO!$L$226*EFEITO!$Z$134</f>
        <v>51096.421385537455</v>
      </c>
      <c r="L226" s="56">
        <f>EFEITO!$N$226*EFEITO!$AA$134</f>
        <v>28345.057119321536</v>
      </c>
      <c r="M226" s="56">
        <f>$J$226-EFEITO!$K$226*EFEITO!$Y$226</f>
        <v>0</v>
      </c>
      <c r="N226" s="56">
        <f ca="1">$K$226-EFEITO!$M$226*EFEITO!$Z$226</f>
        <v>3065.7852831322452</v>
      </c>
      <c r="O226" s="56">
        <f>$L$226-EFEITO!$O$226*EFEITO!$AA$226</f>
        <v>1700.7034271592929</v>
      </c>
      <c r="P226" s="39"/>
      <c r="Q226" s="39"/>
      <c r="R226" s="39"/>
      <c r="S226" s="39"/>
      <c r="T226" s="39"/>
      <c r="U226" s="39"/>
      <c r="V226" s="39"/>
      <c r="W226" s="3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5" t="s">
        <v>27</v>
      </c>
      <c r="B227" s="35" t="s">
        <v>41</v>
      </c>
      <c r="C227" s="35" t="s">
        <v>23</v>
      </c>
      <c r="D227" s="35" t="s">
        <v>42</v>
      </c>
      <c r="E227" s="35" t="s">
        <v>25</v>
      </c>
      <c r="F227" s="35" t="s">
        <v>25</v>
      </c>
      <c r="G227" s="35" t="s">
        <v>25</v>
      </c>
      <c r="H227" s="35" t="s">
        <v>25</v>
      </c>
      <c r="I227" s="55">
        <v>44470</v>
      </c>
      <c r="J227" s="56">
        <f>EFEITO!$J$227*EFEITO!$Y$134</f>
        <v>0</v>
      </c>
      <c r="K227" s="56">
        <f ca="1">EFEITO!$L$227*EFEITO!$Z$134</f>
        <v>-216.44034512251594</v>
      </c>
      <c r="L227" s="56">
        <f>EFEITO!$N$227*EFEITO!$AA$134</f>
        <v>-120.06738983015866</v>
      </c>
      <c r="M227" s="56">
        <f>$J$227-EFEITO!$K$227*EFEITO!$Y$227</f>
        <v>0</v>
      </c>
      <c r="N227" s="56">
        <f ca="1">$K$227-EFEITO!$M$227*EFEITO!$Z$227</f>
        <v>-12.986420707350959</v>
      </c>
      <c r="O227" s="56">
        <f>$L$227-EFEITO!$O$227*EFEITO!$AA$227</f>
        <v>-7.2040433898095273</v>
      </c>
      <c r="P227" s="39"/>
      <c r="Q227" s="39"/>
      <c r="R227" s="39"/>
      <c r="S227" s="39"/>
      <c r="T227" s="39"/>
      <c r="U227" s="39"/>
      <c r="V227" s="39"/>
      <c r="W227" s="3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5" t="s">
        <v>28</v>
      </c>
      <c r="B228" s="35" t="s">
        <v>41</v>
      </c>
      <c r="C228" s="35" t="s">
        <v>23</v>
      </c>
      <c r="D228" s="35" t="s">
        <v>42</v>
      </c>
      <c r="E228" s="35" t="s">
        <v>25</v>
      </c>
      <c r="F228" s="35" t="s">
        <v>25</v>
      </c>
      <c r="G228" s="35" t="s">
        <v>25</v>
      </c>
      <c r="H228" s="35" t="s">
        <v>25</v>
      </c>
      <c r="I228" s="55">
        <v>44470</v>
      </c>
      <c r="J228" s="56">
        <f>EFEITO!$J$228*EFEITO!$Y$134</f>
        <v>0</v>
      </c>
      <c r="K228" s="56">
        <f ca="1">EFEITO!$L$228*EFEITO!$Z$134</f>
        <v>712.89432059411649</v>
      </c>
      <c r="L228" s="56">
        <f>EFEITO!$N$228*EFEITO!$AA$134</f>
        <v>395.46860013565714</v>
      </c>
      <c r="M228" s="56">
        <f>$J$228-EFEITO!$K$228*EFEITO!$Y$228</f>
        <v>0</v>
      </c>
      <c r="N228" s="56">
        <f ca="1">$K$228-EFEITO!$M$228*EFEITO!$Z$228</f>
        <v>42.773659235647074</v>
      </c>
      <c r="O228" s="56">
        <f>$L$228-EFEITO!$O$228*EFEITO!$AA$228</f>
        <v>23.728116008139466</v>
      </c>
      <c r="P228" s="39"/>
      <c r="Q228" s="39"/>
      <c r="R228" s="39"/>
      <c r="S228" s="39"/>
      <c r="T228" s="39"/>
      <c r="U228" s="39"/>
      <c r="V228" s="39"/>
      <c r="W228" s="3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5" t="s">
        <v>21</v>
      </c>
      <c r="B229" s="35" t="s">
        <v>41</v>
      </c>
      <c r="C229" s="35" t="s">
        <v>23</v>
      </c>
      <c r="D229" s="35" t="s">
        <v>42</v>
      </c>
      <c r="E229" s="35" t="s">
        <v>25</v>
      </c>
      <c r="F229" s="35" t="s">
        <v>25</v>
      </c>
      <c r="G229" s="35" t="s">
        <v>25</v>
      </c>
      <c r="H229" s="35" t="s">
        <v>25</v>
      </c>
      <c r="I229" s="55">
        <v>44501</v>
      </c>
      <c r="J229" s="56">
        <f>EFEITO!$J$229*EFEITO!$Y$134</f>
        <v>0</v>
      </c>
      <c r="K229" s="56">
        <f ca="1">EFEITO!$L$229*EFEITO!$Z$134</f>
        <v>53874.71953761459</v>
      </c>
      <c r="L229" s="56">
        <f>EFEITO!$N$229*EFEITO!$AA$134</f>
        <v>29886.280901334223</v>
      </c>
      <c r="M229" s="56">
        <f>$J$229-EFEITO!$K$229*EFEITO!$Y$229</f>
        <v>0</v>
      </c>
      <c r="N229" s="56">
        <f ca="1">$K$229-EFEITO!$M$229*EFEITO!$Z$229</f>
        <v>3232.4831722568779</v>
      </c>
      <c r="O229" s="56">
        <f>$L$229-EFEITO!$O$229*EFEITO!$AA$229</f>
        <v>1793.1768540800549</v>
      </c>
      <c r="P229" s="39"/>
      <c r="Q229" s="39"/>
      <c r="R229" s="39"/>
      <c r="S229" s="39"/>
      <c r="T229" s="39"/>
      <c r="U229" s="39"/>
      <c r="V229" s="39"/>
      <c r="W229" s="3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5" t="s">
        <v>28</v>
      </c>
      <c r="B230" s="35" t="s">
        <v>41</v>
      </c>
      <c r="C230" s="35" t="s">
        <v>23</v>
      </c>
      <c r="D230" s="35" t="s">
        <v>42</v>
      </c>
      <c r="E230" s="35" t="s">
        <v>25</v>
      </c>
      <c r="F230" s="35" t="s">
        <v>25</v>
      </c>
      <c r="G230" s="35" t="s">
        <v>25</v>
      </c>
      <c r="H230" s="35" t="s">
        <v>25</v>
      </c>
      <c r="I230" s="55">
        <v>44501</v>
      </c>
      <c r="J230" s="56">
        <f>EFEITO!$J$230*EFEITO!$Y$134</f>
        <v>0</v>
      </c>
      <c r="K230" s="56">
        <f ca="1">EFEITO!$L$230*EFEITO!$Z$134</f>
        <v>137.33770777953364</v>
      </c>
      <c r="L230" s="56">
        <f>EFEITO!$N$230*EFEITO!$AA$134</f>
        <v>76.18625856936076</v>
      </c>
      <c r="M230" s="56">
        <f>$J$230-EFEITO!$K$230*EFEITO!$Y$230</f>
        <v>0</v>
      </c>
      <c r="N230" s="56">
        <f ca="1">$K$230-EFEITO!$M$230*EFEITO!$Z$230</f>
        <v>8.240262466772009</v>
      </c>
      <c r="O230" s="56">
        <f>$L$230-EFEITO!$O$230*EFEITO!$AA$230</f>
        <v>4.5711755141616521</v>
      </c>
      <c r="P230" s="39"/>
      <c r="Q230" s="39"/>
      <c r="R230" s="39"/>
      <c r="S230" s="39"/>
      <c r="T230" s="39"/>
      <c r="U230" s="39"/>
      <c r="V230" s="39"/>
      <c r="W230" s="3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5" t="s">
        <v>21</v>
      </c>
      <c r="B231" s="35" t="s">
        <v>41</v>
      </c>
      <c r="C231" s="35" t="s">
        <v>23</v>
      </c>
      <c r="D231" s="35" t="s">
        <v>42</v>
      </c>
      <c r="E231" s="35" t="s">
        <v>25</v>
      </c>
      <c r="F231" s="35" t="s">
        <v>25</v>
      </c>
      <c r="G231" s="35" t="s">
        <v>25</v>
      </c>
      <c r="H231" s="35" t="s">
        <v>25</v>
      </c>
      <c r="I231" s="55">
        <v>44531</v>
      </c>
      <c r="J231" s="56">
        <f>EFEITO!$J$231*EFEITO!$Y$134</f>
        <v>0</v>
      </c>
      <c r="K231" s="56">
        <f ca="1">EFEITO!$L$231*EFEITO!$Z$134</f>
        <v>55926.049893742114</v>
      </c>
      <c r="L231" s="56">
        <f>EFEITO!$N$231*EFEITO!$AA$134</f>
        <v>31024.229010778352</v>
      </c>
      <c r="M231" s="56">
        <f>$J$231-EFEITO!$K$231*EFEITO!$Y$231</f>
        <v>0</v>
      </c>
      <c r="N231" s="56">
        <f ca="1">$K$231-EFEITO!$M$231*EFEITO!$Z$231</f>
        <v>3355.5629936245241</v>
      </c>
      <c r="O231" s="56">
        <f>$L$231-EFEITO!$O$231*EFEITO!$AA$231</f>
        <v>1861.4537406467025</v>
      </c>
      <c r="P231" s="39"/>
      <c r="Q231" s="39"/>
      <c r="R231" s="39"/>
      <c r="S231" s="39"/>
      <c r="T231" s="39"/>
      <c r="U231" s="39"/>
      <c r="V231" s="39"/>
      <c r="W231" s="3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5" t="s">
        <v>28</v>
      </c>
      <c r="B232" s="35" t="s">
        <v>41</v>
      </c>
      <c r="C232" s="35" t="s">
        <v>23</v>
      </c>
      <c r="D232" s="35" t="s">
        <v>42</v>
      </c>
      <c r="E232" s="35" t="s">
        <v>25</v>
      </c>
      <c r="F232" s="35" t="s">
        <v>25</v>
      </c>
      <c r="G232" s="35" t="s">
        <v>25</v>
      </c>
      <c r="H232" s="35" t="s">
        <v>25</v>
      </c>
      <c r="I232" s="55">
        <v>44531</v>
      </c>
      <c r="J232" s="56">
        <f>EFEITO!$J$232*EFEITO!$Y$134</f>
        <v>0</v>
      </c>
      <c r="K232" s="56">
        <f ca="1">EFEITO!$L$232*EFEITO!$Z$134</f>
        <v>595.4535952137378</v>
      </c>
      <c r="L232" s="56">
        <f>EFEITO!$N$232*EFEITO!$AA$134</f>
        <v>330.31992673005533</v>
      </c>
      <c r="M232" s="56">
        <f>$J$232-EFEITO!$K$232*EFEITO!$Y$232</f>
        <v>0</v>
      </c>
      <c r="N232" s="56">
        <f ca="1">$K$232-EFEITO!$M$232*EFEITO!$Z$232</f>
        <v>35.727215712824204</v>
      </c>
      <c r="O232" s="56">
        <f>$L$232-EFEITO!$O$232*EFEITO!$AA$232</f>
        <v>19.819195603803337</v>
      </c>
      <c r="P232" s="39"/>
      <c r="Q232" s="39"/>
      <c r="R232" s="39"/>
      <c r="S232" s="39"/>
      <c r="T232" s="39"/>
      <c r="U232" s="39"/>
      <c r="V232" s="39"/>
      <c r="W232" s="3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5" t="s">
        <v>21</v>
      </c>
      <c r="B233" s="35" t="s">
        <v>41</v>
      </c>
      <c r="C233" s="35" t="s">
        <v>23</v>
      </c>
      <c r="D233" s="35" t="s">
        <v>42</v>
      </c>
      <c r="E233" s="35" t="s">
        <v>25</v>
      </c>
      <c r="F233" s="35" t="s">
        <v>25</v>
      </c>
      <c r="G233" s="35" t="s">
        <v>25</v>
      </c>
      <c r="H233" s="35" t="s">
        <v>25</v>
      </c>
      <c r="I233" s="55">
        <v>44562</v>
      </c>
      <c r="J233" s="56">
        <f>EFEITO!$J$233*EFEITO!$Y$134</f>
        <v>0</v>
      </c>
      <c r="K233" s="56">
        <f ca="1">EFEITO!$L$233*EFEITO!$Z$134</f>
        <v>64215.326878131564</v>
      </c>
      <c r="L233" s="56">
        <f>EFEITO!$N$233*EFEITO!$AA$134</f>
        <v>35622.594673758038</v>
      </c>
      <c r="M233" s="56">
        <f>$J$233-EFEITO!$K$233*EFEITO!$Y$233</f>
        <v>0</v>
      </c>
      <c r="N233" s="56">
        <f ca="1">$K$233-EFEITO!$M$233*EFEITO!$Z$233</f>
        <v>3852.9196126878887</v>
      </c>
      <c r="O233" s="56">
        <f>$L$233-EFEITO!$O$233*EFEITO!$AA$233</f>
        <v>2137.355680425484</v>
      </c>
      <c r="P233" s="39"/>
      <c r="Q233" s="39"/>
      <c r="R233" s="39"/>
      <c r="S233" s="39"/>
      <c r="T233" s="39"/>
      <c r="U233" s="39"/>
      <c r="V233" s="39"/>
      <c r="W233" s="3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5" t="s">
        <v>28</v>
      </c>
      <c r="B234" s="35" t="s">
        <v>41</v>
      </c>
      <c r="C234" s="35" t="s">
        <v>23</v>
      </c>
      <c r="D234" s="35" t="s">
        <v>42</v>
      </c>
      <c r="E234" s="35" t="s">
        <v>25</v>
      </c>
      <c r="F234" s="35" t="s">
        <v>25</v>
      </c>
      <c r="G234" s="35" t="s">
        <v>25</v>
      </c>
      <c r="H234" s="35" t="s">
        <v>25</v>
      </c>
      <c r="I234" s="55">
        <v>44562</v>
      </c>
      <c r="J234" s="56">
        <f>EFEITO!$J$234*EFEITO!$Y$134</f>
        <v>0</v>
      </c>
      <c r="K234" s="56">
        <f ca="1">EFEITO!$L$234*EFEITO!$Z$134</f>
        <v>1468.0090672547326</v>
      </c>
      <c r="L234" s="56">
        <f>EFEITO!$N$234*EFEITO!$AA$134</f>
        <v>814.3584175700222</v>
      </c>
      <c r="M234" s="56">
        <f>$J$234-EFEITO!$K$234*EFEITO!$Y$234</f>
        <v>0</v>
      </c>
      <c r="N234" s="56">
        <f ca="1">$K$234-EFEITO!$M$234*EFEITO!$Z$234</f>
        <v>88.080544035283992</v>
      </c>
      <c r="O234" s="56">
        <f>$L$234-EFEITO!$O$234*EFEITO!$AA$234</f>
        <v>48.861505054201302</v>
      </c>
      <c r="P234" s="39"/>
      <c r="Q234" s="39"/>
      <c r="R234" s="39"/>
      <c r="S234" s="39"/>
      <c r="T234" s="39"/>
      <c r="U234" s="39"/>
      <c r="V234" s="39"/>
      <c r="W234" s="3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5" t="s">
        <v>21</v>
      </c>
      <c r="B235" s="35" t="s">
        <v>41</v>
      </c>
      <c r="C235" s="35" t="s">
        <v>23</v>
      </c>
      <c r="D235" s="35" t="s">
        <v>42</v>
      </c>
      <c r="E235" s="35" t="s">
        <v>25</v>
      </c>
      <c r="F235" s="35" t="s">
        <v>25</v>
      </c>
      <c r="G235" s="35" t="s">
        <v>25</v>
      </c>
      <c r="H235" s="35" t="s">
        <v>25</v>
      </c>
      <c r="I235" s="55">
        <v>44593</v>
      </c>
      <c r="J235" s="56">
        <f>EFEITO!$J$235*EFEITO!$Y$134</f>
        <v>0</v>
      </c>
      <c r="K235" s="56">
        <f ca="1">EFEITO!$L$235*EFEITO!$Z$134</f>
        <v>62312.495951617238</v>
      </c>
      <c r="L235" s="56">
        <f>EFEITO!$N$235*EFEITO!$AA$134</f>
        <v>34567.024638950737</v>
      </c>
      <c r="M235" s="56">
        <f>$J$235-EFEITO!$K$235*EFEITO!$Y$235</f>
        <v>0</v>
      </c>
      <c r="N235" s="56">
        <f ca="1">$K$235-EFEITO!$M$235*EFEITO!$Z$235</f>
        <v>3738.7497570970299</v>
      </c>
      <c r="O235" s="56">
        <f>$L$235-EFEITO!$O$235*EFEITO!$AA$235</f>
        <v>2074.0214783370429</v>
      </c>
      <c r="P235" s="39"/>
      <c r="Q235" s="39"/>
      <c r="R235" s="39"/>
      <c r="S235" s="39"/>
      <c r="T235" s="39"/>
      <c r="U235" s="39"/>
      <c r="V235" s="39"/>
      <c r="W235" s="3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5" t="s">
        <v>28</v>
      </c>
      <c r="B236" s="35" t="s">
        <v>41</v>
      </c>
      <c r="C236" s="35" t="s">
        <v>23</v>
      </c>
      <c r="D236" s="35" t="s">
        <v>42</v>
      </c>
      <c r="E236" s="35" t="s">
        <v>25</v>
      </c>
      <c r="F236" s="35" t="s">
        <v>25</v>
      </c>
      <c r="G236" s="35" t="s">
        <v>25</v>
      </c>
      <c r="H236" s="35" t="s">
        <v>25</v>
      </c>
      <c r="I236" s="55">
        <v>44593</v>
      </c>
      <c r="J236" s="56">
        <f>EFEITO!$J$236*EFEITO!$Y$134</f>
        <v>0</v>
      </c>
      <c r="K236" s="56">
        <f ca="1">EFEITO!$L$236*EFEITO!$Z$134</f>
        <v>581.38011985823789</v>
      </c>
      <c r="L236" s="56">
        <f>EFEITO!$N$236*EFEITO!$AA$134</f>
        <v>322.51285429715261</v>
      </c>
      <c r="M236" s="56">
        <f>$J$236-EFEITO!$K$236*EFEITO!$Y$236</f>
        <v>0</v>
      </c>
      <c r="N236" s="56">
        <f ca="1">$K$236-EFEITO!$M$236*EFEITO!$Z$236</f>
        <v>34.882807191494294</v>
      </c>
      <c r="O236" s="56">
        <f>$L$236-EFEITO!$O$236*EFEITO!$AA$236</f>
        <v>19.350771257829194</v>
      </c>
      <c r="P236" s="39"/>
      <c r="Q236" s="39"/>
      <c r="R236" s="39"/>
      <c r="S236" s="39"/>
      <c r="T236" s="39"/>
      <c r="U236" s="39"/>
      <c r="V236" s="39"/>
      <c r="W236" s="3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5" t="s">
        <v>28</v>
      </c>
      <c r="B237" s="35" t="s">
        <v>41</v>
      </c>
      <c r="C237" s="35" t="s">
        <v>23</v>
      </c>
      <c r="D237" s="35" t="s">
        <v>42</v>
      </c>
      <c r="E237" s="35" t="s">
        <v>25</v>
      </c>
      <c r="F237" s="35" t="s">
        <v>25</v>
      </c>
      <c r="G237" s="35" t="s">
        <v>25</v>
      </c>
      <c r="H237" s="35" t="s">
        <v>25</v>
      </c>
      <c r="I237" s="55">
        <v>44593</v>
      </c>
      <c r="J237" s="56">
        <f>EFEITO!$J$237*EFEITO!$Y$134</f>
        <v>0</v>
      </c>
      <c r="K237" s="56">
        <f ca="1">EFEITO!$L$237*EFEITO!$Z$134</f>
        <v>-398.91023249037687</v>
      </c>
      <c r="L237" s="56">
        <f>EFEITO!$N$237*EFEITO!$AA$134</f>
        <v>-221.29012206365562</v>
      </c>
      <c r="M237" s="56">
        <f>$J$237-EFEITO!$K$237*EFEITO!$Y$237</f>
        <v>0</v>
      </c>
      <c r="N237" s="56">
        <f ca="1">$K$237-EFEITO!$M$237*EFEITO!$Z$237</f>
        <v>-23.934613949422612</v>
      </c>
      <c r="O237" s="56">
        <f>$L$237-EFEITO!$O$237*EFEITO!$AA$237</f>
        <v>-13.277407323819318</v>
      </c>
      <c r="P237" s="39"/>
      <c r="Q237" s="39"/>
      <c r="R237" s="39"/>
      <c r="S237" s="39"/>
      <c r="T237" s="39"/>
      <c r="U237" s="39"/>
      <c r="V237" s="39"/>
      <c r="W237" s="3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5" t="s">
        <v>21</v>
      </c>
      <c r="B238" s="35" t="s">
        <v>41</v>
      </c>
      <c r="C238" s="35" t="s">
        <v>23</v>
      </c>
      <c r="D238" s="35" t="s">
        <v>42</v>
      </c>
      <c r="E238" s="35" t="s">
        <v>25</v>
      </c>
      <c r="F238" s="35" t="s">
        <v>25</v>
      </c>
      <c r="G238" s="35" t="s">
        <v>25</v>
      </c>
      <c r="H238" s="35" t="s">
        <v>25</v>
      </c>
      <c r="I238" s="55">
        <v>44621</v>
      </c>
      <c r="J238" s="56">
        <f>EFEITO!$J$238*EFEITO!$Y$134</f>
        <v>0</v>
      </c>
      <c r="K238" s="56">
        <f ca="1">EFEITO!$L$238*EFEITO!$Z$134</f>
        <v>64342.958740838345</v>
      </c>
      <c r="L238" s="56">
        <f>EFEITO!$N$238*EFEITO!$AA$134</f>
        <v>35693.396744442638</v>
      </c>
      <c r="M238" s="56">
        <f>$J$238-EFEITO!$K$238*EFEITO!$Y$238</f>
        <v>0</v>
      </c>
      <c r="N238" s="56">
        <f ca="1">$K$238-EFEITO!$M$238*EFEITO!$Z$238</f>
        <v>3860.577524450302</v>
      </c>
      <c r="O238" s="56">
        <f>$L$238-EFEITO!$O$238*EFEITO!$AA$238</f>
        <v>2141.6038046665562</v>
      </c>
      <c r="P238" s="39"/>
      <c r="Q238" s="39"/>
      <c r="R238" s="39"/>
      <c r="S238" s="39"/>
      <c r="T238" s="39"/>
      <c r="U238" s="39"/>
      <c r="V238" s="39"/>
      <c r="W238" s="3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5" t="s">
        <v>21</v>
      </c>
      <c r="B239" s="35" t="s">
        <v>41</v>
      </c>
      <c r="C239" s="35" t="s">
        <v>23</v>
      </c>
      <c r="D239" s="35" t="s">
        <v>42</v>
      </c>
      <c r="E239" s="35" t="s">
        <v>25</v>
      </c>
      <c r="F239" s="35" t="s">
        <v>25</v>
      </c>
      <c r="G239" s="35" t="s">
        <v>25</v>
      </c>
      <c r="H239" s="35" t="s">
        <v>25</v>
      </c>
      <c r="I239" s="55">
        <v>44652</v>
      </c>
      <c r="J239" s="56">
        <f>EFEITO!$J$239*EFEITO!$Y$134</f>
        <v>0</v>
      </c>
      <c r="K239" s="56">
        <f ca="1">EFEITO!$L$239*EFEITO!$Z$134</f>
        <v>59230.404848762766</v>
      </c>
      <c r="L239" s="56">
        <f>EFEITO!$N$239*EFEITO!$AA$134</f>
        <v>32857.275776145056</v>
      </c>
      <c r="M239" s="56">
        <f>$J$239-EFEITO!$K$239*EFEITO!$Y$239</f>
        <v>0</v>
      </c>
      <c r="N239" s="56">
        <f ca="1">$K$239-EFEITO!$M$239*EFEITO!$Z$239</f>
        <v>3553.8242909257679</v>
      </c>
      <c r="O239" s="56">
        <f>$L$239-EFEITO!$O$239*EFEITO!$AA$239</f>
        <v>1971.4365465687042</v>
      </c>
      <c r="P239" s="39"/>
      <c r="Q239" s="39"/>
      <c r="R239" s="39"/>
      <c r="S239" s="39"/>
      <c r="T239" s="39"/>
      <c r="U239" s="39"/>
      <c r="V239" s="39"/>
      <c r="W239" s="3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5" t="s">
        <v>28</v>
      </c>
      <c r="B240" s="35" t="s">
        <v>41</v>
      </c>
      <c r="C240" s="35" t="s">
        <v>23</v>
      </c>
      <c r="D240" s="35" t="s">
        <v>42</v>
      </c>
      <c r="E240" s="35" t="s">
        <v>25</v>
      </c>
      <c r="F240" s="35" t="s">
        <v>25</v>
      </c>
      <c r="G240" s="35" t="s">
        <v>25</v>
      </c>
      <c r="H240" s="35" t="s">
        <v>25</v>
      </c>
      <c r="I240" s="55">
        <v>44652</v>
      </c>
      <c r="J240" s="56">
        <f>EFEITO!$J$240*EFEITO!$Y$134</f>
        <v>0</v>
      </c>
      <c r="K240" s="56">
        <f ca="1">EFEITO!$L$240*EFEITO!$Z$134</f>
        <v>1509.2589088139564</v>
      </c>
      <c r="L240" s="56">
        <f>EFEITO!$N$240*EFEITO!$AA$134</f>
        <v>837.24121608025428</v>
      </c>
      <c r="M240" s="56">
        <f>$J$240-EFEITO!$K$240*EFEITO!$Y$240</f>
        <v>0</v>
      </c>
      <c r="N240" s="56">
        <f ca="1">$K$240-EFEITO!$M$240*EFEITO!$Z$240</f>
        <v>90.55553452883737</v>
      </c>
      <c r="O240" s="56">
        <f>$L$240-EFEITO!$O$240*EFEITO!$AA$240</f>
        <v>50.234472964815268</v>
      </c>
      <c r="P240" s="39"/>
      <c r="Q240" s="39"/>
      <c r="R240" s="39"/>
      <c r="S240" s="39"/>
      <c r="T240" s="39"/>
      <c r="U240" s="39"/>
      <c r="V240" s="39"/>
      <c r="W240" s="3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5" t="s">
        <v>21</v>
      </c>
      <c r="B241" s="35" t="s">
        <v>41</v>
      </c>
      <c r="C241" s="35" t="s">
        <v>23</v>
      </c>
      <c r="D241" s="35" t="s">
        <v>42</v>
      </c>
      <c r="E241" s="35" t="s">
        <v>25</v>
      </c>
      <c r="F241" s="35" t="s">
        <v>25</v>
      </c>
      <c r="G241" s="35" t="s">
        <v>25</v>
      </c>
      <c r="H241" s="35" t="s">
        <v>25</v>
      </c>
      <c r="I241" s="55">
        <v>44682</v>
      </c>
      <c r="J241" s="56">
        <f>EFEITO!$J$241*EFEITO!$Y$134</f>
        <v>0</v>
      </c>
      <c r="K241" s="56">
        <f ca="1">EFEITO!$L$241*EFEITO!$Z$134</f>
        <v>54805.510080092143</v>
      </c>
      <c r="L241" s="56">
        <f>EFEITO!$N$241*EFEITO!$AA$134</f>
        <v>30402.624519482753</v>
      </c>
      <c r="M241" s="56">
        <f>$J$241-EFEITO!$K$241*EFEITO!$Y$241</f>
        <v>0</v>
      </c>
      <c r="N241" s="56">
        <f ca="1">$K$241-EFEITO!$M$241*EFEITO!$Z$241</f>
        <v>3288.330604805531</v>
      </c>
      <c r="O241" s="56">
        <f>$L$241-EFEITO!$O$241*EFEITO!$AA$241</f>
        <v>1824.1574711689645</v>
      </c>
      <c r="P241" s="39"/>
      <c r="Q241" s="39"/>
      <c r="R241" s="39"/>
      <c r="S241" s="39"/>
      <c r="T241" s="39"/>
      <c r="U241" s="39"/>
      <c r="V241" s="39"/>
      <c r="W241" s="3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5" t="s">
        <v>27</v>
      </c>
      <c r="B242" s="35" t="s">
        <v>41</v>
      </c>
      <c r="C242" s="35" t="s">
        <v>23</v>
      </c>
      <c r="D242" s="35" t="s">
        <v>42</v>
      </c>
      <c r="E242" s="35" t="s">
        <v>25</v>
      </c>
      <c r="F242" s="35" t="s">
        <v>25</v>
      </c>
      <c r="G242" s="35" t="s">
        <v>25</v>
      </c>
      <c r="H242" s="35" t="s">
        <v>25</v>
      </c>
      <c r="I242" s="55">
        <v>44682</v>
      </c>
      <c r="J242" s="56">
        <f>EFEITO!$J$242*EFEITO!$Y$134</f>
        <v>0</v>
      </c>
      <c r="K242" s="56">
        <f ca="1">EFEITO!$L$242*EFEITO!$Z$134</f>
        <v>1078.3193875834763</v>
      </c>
      <c r="L242" s="56">
        <f>EFEITO!$N$242*EFEITO!$AA$134</f>
        <v>598.18327399688906</v>
      </c>
      <c r="M242" s="56">
        <f>$J$242-EFEITO!$K$242*EFEITO!$Y$242</f>
        <v>0</v>
      </c>
      <c r="N242" s="56">
        <f ca="1">$K$242-EFEITO!$M$242*EFEITO!$Z$242</f>
        <v>64.699163255008671</v>
      </c>
      <c r="O242" s="56">
        <f>$L$242-EFEITO!$O$242*EFEITO!$AA$242</f>
        <v>35.890996439813307</v>
      </c>
      <c r="P242" s="39"/>
      <c r="Q242" s="39"/>
      <c r="R242" s="39"/>
      <c r="S242" s="39"/>
      <c r="T242" s="39"/>
      <c r="U242" s="39"/>
      <c r="V242" s="39"/>
      <c r="W242" s="3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5" t="s">
        <v>28</v>
      </c>
      <c r="B243" s="35" t="s">
        <v>41</v>
      </c>
      <c r="C243" s="35" t="s">
        <v>23</v>
      </c>
      <c r="D243" s="35" t="s">
        <v>42</v>
      </c>
      <c r="E243" s="35" t="s">
        <v>25</v>
      </c>
      <c r="F243" s="35" t="s">
        <v>25</v>
      </c>
      <c r="G243" s="35" t="s">
        <v>25</v>
      </c>
      <c r="H243" s="35" t="s">
        <v>25</v>
      </c>
      <c r="I243" s="55">
        <v>44682</v>
      </c>
      <c r="J243" s="56">
        <f>EFEITO!$J$243*EFEITO!$Y$134</f>
        <v>0</v>
      </c>
      <c r="K243" s="56">
        <f ca="1">EFEITO!$L$243*EFEITO!$Z$134</f>
        <v>1234.5834932548892</v>
      </c>
      <c r="L243" s="56">
        <f>EFEITO!$N$243*EFEITO!$AA$134</f>
        <v>684.86869894153278</v>
      </c>
      <c r="M243" s="56">
        <f>$J$243-EFEITO!$K$243*EFEITO!$Y$243</f>
        <v>0</v>
      </c>
      <c r="N243" s="56">
        <f ca="1">$K$243-EFEITO!$M$243*EFEITO!$Z$243</f>
        <v>74.075009595293295</v>
      </c>
      <c r="O243" s="56">
        <f>$L$243-EFEITO!$O$243*EFEITO!$AA$243</f>
        <v>41.092121936491935</v>
      </c>
      <c r="P243" s="39"/>
      <c r="Q243" s="39"/>
      <c r="R243" s="39"/>
      <c r="S243" s="39"/>
      <c r="T243" s="39"/>
      <c r="U243" s="39"/>
      <c r="V243" s="39"/>
      <c r="W243" s="3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5" t="s">
        <v>21</v>
      </c>
      <c r="B244" s="35" t="s">
        <v>41</v>
      </c>
      <c r="C244" s="35" t="s">
        <v>23</v>
      </c>
      <c r="D244" s="35" t="s">
        <v>42</v>
      </c>
      <c r="E244" s="35" t="s">
        <v>25</v>
      </c>
      <c r="F244" s="35" t="s">
        <v>25</v>
      </c>
      <c r="G244" s="35" t="s">
        <v>25</v>
      </c>
      <c r="H244" s="35" t="s">
        <v>25</v>
      </c>
      <c r="I244" s="55">
        <v>44713</v>
      </c>
      <c r="J244" s="56">
        <f>EFEITO!$J$244*EFEITO!$Y$134</f>
        <v>0</v>
      </c>
      <c r="K244" s="56">
        <f ca="1">EFEITO!$L$244*EFEITO!$Z$134</f>
        <v>46029.484965303847</v>
      </c>
      <c r="L244" s="56">
        <f>EFEITO!$N$244*EFEITO!$AA$134</f>
        <v>25534.241834082328</v>
      </c>
      <c r="M244" s="56">
        <f>$J$244-EFEITO!$K$244*EFEITO!$Y$244</f>
        <v>0</v>
      </c>
      <c r="N244" s="56">
        <f ca="1">$K$244-EFEITO!$M$244*EFEITO!$Z$244</f>
        <v>2761.7690979182298</v>
      </c>
      <c r="O244" s="56">
        <f>$L$244-EFEITO!$O$244*EFEITO!$AA$244</f>
        <v>1532.0545100449381</v>
      </c>
      <c r="P244" s="39"/>
      <c r="Q244" s="39"/>
      <c r="R244" s="39"/>
      <c r="S244" s="39"/>
      <c r="T244" s="39"/>
      <c r="U244" s="39"/>
      <c r="V244" s="39"/>
      <c r="W244" s="3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5" t="s">
        <v>27</v>
      </c>
      <c r="B245" s="35" t="s">
        <v>41</v>
      </c>
      <c r="C245" s="35" t="s">
        <v>23</v>
      </c>
      <c r="D245" s="35" t="s">
        <v>42</v>
      </c>
      <c r="E245" s="35" t="s">
        <v>25</v>
      </c>
      <c r="F245" s="35" t="s">
        <v>25</v>
      </c>
      <c r="G245" s="35" t="s">
        <v>25</v>
      </c>
      <c r="H245" s="35" t="s">
        <v>25</v>
      </c>
      <c r="I245" s="55">
        <v>44713</v>
      </c>
      <c r="J245" s="56">
        <f>EFEITO!$J$245*EFEITO!$Y$134</f>
        <v>0</v>
      </c>
      <c r="K245" s="56">
        <f ca="1">EFEITO!$L$245*EFEITO!$Z$134</f>
        <v>-284.38126063182585</v>
      </c>
      <c r="L245" s="56">
        <f>EFEITO!$N$245*EFEITO!$AA$134</f>
        <v>-157.756705023482</v>
      </c>
      <c r="M245" s="56">
        <f>$J$245-EFEITO!$K$245*EFEITO!$Y$245</f>
        <v>0</v>
      </c>
      <c r="N245" s="56">
        <f ca="1">$K$245-EFEITO!$M$245*EFEITO!$Z$245</f>
        <v>-17.062875637909542</v>
      </c>
      <c r="O245" s="56">
        <f>$L$245-EFEITO!$O$245*EFEITO!$AA$245</f>
        <v>-9.4654023014089432</v>
      </c>
      <c r="P245" s="39"/>
      <c r="Q245" s="39"/>
      <c r="R245" s="39"/>
      <c r="S245" s="39"/>
      <c r="T245" s="39"/>
      <c r="U245" s="39"/>
      <c r="V245" s="39"/>
      <c r="W245" s="3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5" t="s">
        <v>28</v>
      </c>
      <c r="B246" s="35" t="s">
        <v>41</v>
      </c>
      <c r="C246" s="35" t="s">
        <v>23</v>
      </c>
      <c r="D246" s="35" t="s">
        <v>42</v>
      </c>
      <c r="E246" s="35" t="s">
        <v>25</v>
      </c>
      <c r="F246" s="35" t="s">
        <v>25</v>
      </c>
      <c r="G246" s="35" t="s">
        <v>25</v>
      </c>
      <c r="H246" s="35" t="s">
        <v>25</v>
      </c>
      <c r="I246" s="55">
        <v>44713</v>
      </c>
      <c r="J246" s="56">
        <f>EFEITO!$J$246*EFEITO!$Y$134</f>
        <v>0</v>
      </c>
      <c r="K246" s="56">
        <f ca="1">EFEITO!$L$246*EFEITO!$Z$134</f>
        <v>795.87929596620211</v>
      </c>
      <c r="L246" s="56">
        <f>EFEITO!$N$246*EFEITO!$AA$134</f>
        <v>441.50340655035916</v>
      </c>
      <c r="M246" s="56">
        <f>$J$246-EFEITO!$K$246*EFEITO!$Y$246</f>
        <v>0</v>
      </c>
      <c r="N246" s="56">
        <f ca="1">$K$246-EFEITO!$M$246*EFEITO!$Z$246</f>
        <v>47.752757757972176</v>
      </c>
      <c r="O246" s="56">
        <f>$L$246-EFEITO!$O$246*EFEITO!$AA$246</f>
        <v>26.490204393021543</v>
      </c>
      <c r="P246" s="39"/>
      <c r="Q246" s="39"/>
      <c r="R246" s="39"/>
      <c r="S246" s="39"/>
      <c r="T246" s="39"/>
      <c r="U246" s="39"/>
      <c r="V246" s="39"/>
      <c r="W246" s="3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5" t="s">
        <v>21</v>
      </c>
      <c r="B247" s="35" t="s">
        <v>41</v>
      </c>
      <c r="C247" s="35" t="s">
        <v>23</v>
      </c>
      <c r="D247" s="35" t="s">
        <v>42</v>
      </c>
      <c r="E247" s="35" t="s">
        <v>25</v>
      </c>
      <c r="F247" s="35" t="s">
        <v>25</v>
      </c>
      <c r="G247" s="35" t="s">
        <v>25</v>
      </c>
      <c r="H247" s="35" t="s">
        <v>25</v>
      </c>
      <c r="I247" s="55">
        <v>44743</v>
      </c>
      <c r="J247" s="56">
        <f>EFEITO!$J$247*EFEITO!$Y$134</f>
        <v>0</v>
      </c>
      <c r="K247" s="56">
        <f ca="1">EFEITO!$L$247*EFEITO!$Z$134</f>
        <v>48426.828698275211</v>
      </c>
      <c r="L247" s="56">
        <f>EFEITO!$N$247*EFEITO!$AA$134</f>
        <v>26864.136241618166</v>
      </c>
      <c r="M247" s="56">
        <f>$J$247-EFEITO!$K$247*EFEITO!$Y$247</f>
        <v>0</v>
      </c>
      <c r="N247" s="56">
        <f ca="1">$K$247-EFEITO!$M$247*EFEITO!$Z$247</f>
        <v>2905.6097218965151</v>
      </c>
      <c r="O247" s="56">
        <f>$L$247-EFEITO!$O$247*EFEITO!$AA$247</f>
        <v>1611.8481744970886</v>
      </c>
      <c r="P247" s="39"/>
      <c r="Q247" s="39"/>
      <c r="R247" s="39"/>
      <c r="S247" s="39"/>
      <c r="T247" s="39"/>
      <c r="U247" s="39"/>
      <c r="V247" s="39"/>
      <c r="W247" s="3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5" t="s">
        <v>28</v>
      </c>
      <c r="B248" s="35" t="s">
        <v>41</v>
      </c>
      <c r="C248" s="35" t="s">
        <v>23</v>
      </c>
      <c r="D248" s="35" t="s">
        <v>42</v>
      </c>
      <c r="E248" s="35" t="s">
        <v>25</v>
      </c>
      <c r="F248" s="35" t="s">
        <v>25</v>
      </c>
      <c r="G248" s="35" t="s">
        <v>25</v>
      </c>
      <c r="H248" s="35" t="s">
        <v>25</v>
      </c>
      <c r="I248" s="55">
        <v>44743</v>
      </c>
      <c r="J248" s="56">
        <f>EFEITO!$J$248*EFEITO!$Y$134</f>
        <v>0</v>
      </c>
      <c r="K248" s="56">
        <f ca="1">EFEITO!$L$248*EFEITO!$Z$134</f>
        <v>653.20337339665127</v>
      </c>
      <c r="L248" s="56">
        <f>EFEITO!$N$248*EFEITO!$AA$134</f>
        <v>362.35584464438017</v>
      </c>
      <c r="M248" s="56">
        <f>$J$248-EFEITO!$K$248*EFEITO!$Y$248</f>
        <v>0</v>
      </c>
      <c r="N248" s="56">
        <f ca="1">$K$248-EFEITO!$M$248*EFEITO!$Z$248</f>
        <v>39.192202403799001</v>
      </c>
      <c r="O248" s="56">
        <f>$L$248-EFEITO!$O$248*EFEITO!$AA$248</f>
        <v>21.741350678662798</v>
      </c>
      <c r="P248" s="39"/>
      <c r="Q248" s="39"/>
      <c r="R248" s="39"/>
      <c r="S248" s="39"/>
      <c r="T248" s="39"/>
      <c r="U248" s="39"/>
      <c r="V248" s="39"/>
      <c r="W248" s="3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5" t="s">
        <v>21</v>
      </c>
      <c r="B249" s="35" t="s">
        <v>41</v>
      </c>
      <c r="C249" s="35" t="s">
        <v>23</v>
      </c>
      <c r="D249" s="35" t="s">
        <v>42</v>
      </c>
      <c r="E249" s="35" t="s">
        <v>25</v>
      </c>
      <c r="F249" s="35" t="s">
        <v>25</v>
      </c>
      <c r="G249" s="35" t="s">
        <v>25</v>
      </c>
      <c r="H249" s="35" t="s">
        <v>25</v>
      </c>
      <c r="I249" s="55">
        <v>44774</v>
      </c>
      <c r="J249" s="56">
        <f>EFEITO!$J$249*EFEITO!$Y$134</f>
        <v>0</v>
      </c>
      <c r="K249" s="56">
        <f ca="1">EFEITO!$L$249*EFEITO!$Z$134</f>
        <v>49948.705205683749</v>
      </c>
      <c r="L249" s="56">
        <f>EFEITO!$N$249*EFEITO!$AA$134</f>
        <v>27708.37690194861</v>
      </c>
      <c r="M249" s="56">
        <f>$J$249-EFEITO!$K$249*EFEITO!$Y$249</f>
        <v>0</v>
      </c>
      <c r="N249" s="56">
        <f ca="1">$K$249-EFEITO!$M$249*EFEITO!$Z$249</f>
        <v>2996.9223123410266</v>
      </c>
      <c r="O249" s="56">
        <f>$L$249-EFEITO!$O$249*EFEITO!$AA$249</f>
        <v>1662.5026141169183</v>
      </c>
      <c r="P249" s="39"/>
      <c r="Q249" s="39"/>
      <c r="R249" s="39"/>
      <c r="S249" s="39"/>
      <c r="T249" s="39"/>
      <c r="U249" s="39"/>
      <c r="V249" s="39"/>
      <c r="W249" s="3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5" t="s">
        <v>27</v>
      </c>
      <c r="B250" s="35" t="s">
        <v>41</v>
      </c>
      <c r="C250" s="35" t="s">
        <v>23</v>
      </c>
      <c r="D250" s="35" t="s">
        <v>42</v>
      </c>
      <c r="E250" s="35" t="s">
        <v>25</v>
      </c>
      <c r="F250" s="35" t="s">
        <v>25</v>
      </c>
      <c r="G250" s="35" t="s">
        <v>25</v>
      </c>
      <c r="H250" s="35" t="s">
        <v>25</v>
      </c>
      <c r="I250" s="55">
        <v>44774</v>
      </c>
      <c r="J250" s="56">
        <f>EFEITO!$J$250*EFEITO!$Y$134</f>
        <v>0</v>
      </c>
      <c r="K250" s="56">
        <f ca="1">EFEITO!$L$250*EFEITO!$Z$134</f>
        <v>-3.8823380291034253</v>
      </c>
      <c r="L250" s="56">
        <f>EFEITO!$N$250*EFEITO!$AA$134</f>
        <v>-2.153675153904191</v>
      </c>
      <c r="M250" s="56">
        <f>$J$250-EFEITO!$K$250*EFEITO!$Y$250</f>
        <v>0</v>
      </c>
      <c r="N250" s="56">
        <f ca="1">$K$250-EFEITO!$M$250*EFEITO!$Z$250</f>
        <v>-0.23294028174620562</v>
      </c>
      <c r="O250" s="56">
        <f>$L$250-EFEITO!$O$250*EFEITO!$AA$250</f>
        <v>-0.12922050923425132</v>
      </c>
      <c r="P250" s="39"/>
      <c r="Q250" s="39"/>
      <c r="R250" s="39"/>
      <c r="S250" s="39"/>
      <c r="T250" s="39"/>
      <c r="U250" s="39"/>
      <c r="V250" s="39"/>
      <c r="W250" s="3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5" t="s">
        <v>28</v>
      </c>
      <c r="B251" s="35" t="s">
        <v>41</v>
      </c>
      <c r="C251" s="35" t="s">
        <v>23</v>
      </c>
      <c r="D251" s="35" t="s">
        <v>42</v>
      </c>
      <c r="E251" s="35" t="s">
        <v>25</v>
      </c>
      <c r="F251" s="35" t="s">
        <v>25</v>
      </c>
      <c r="G251" s="35" t="s">
        <v>25</v>
      </c>
      <c r="H251" s="35" t="s">
        <v>25</v>
      </c>
      <c r="I251" s="55">
        <v>44774</v>
      </c>
      <c r="J251" s="56">
        <f>EFEITO!$J$251*EFEITO!$Y$134</f>
        <v>0</v>
      </c>
      <c r="K251" s="56">
        <f ca="1">EFEITO!$L$251*EFEITO!$Z$134</f>
        <v>680.86503185401318</v>
      </c>
      <c r="L251" s="56">
        <f>EFEITO!$N$251*EFEITO!$AA$134</f>
        <v>377.70078011594751</v>
      </c>
      <c r="M251" s="56">
        <f>$J$251-EFEITO!$K$251*EFEITO!$Y$251</f>
        <v>0</v>
      </c>
      <c r="N251" s="56">
        <f ca="1">$K$251-EFEITO!$M$251*EFEITO!$Z$251</f>
        <v>40.851901911240816</v>
      </c>
      <c r="O251" s="56">
        <f>$L$251-EFEITO!$O$251*EFEITO!$AA$251</f>
        <v>22.662046806956823</v>
      </c>
      <c r="P251" s="39"/>
      <c r="Q251" s="39"/>
      <c r="R251" s="39"/>
      <c r="S251" s="39"/>
      <c r="T251" s="39"/>
      <c r="U251" s="39"/>
      <c r="V251" s="39"/>
      <c r="W251" s="3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5" t="s">
        <v>21</v>
      </c>
      <c r="B252" s="35" t="s">
        <v>36</v>
      </c>
      <c r="C252" s="35" t="s">
        <v>23</v>
      </c>
      <c r="D252" s="35" t="s">
        <v>37</v>
      </c>
      <c r="E252" s="35" t="s">
        <v>25</v>
      </c>
      <c r="F252" s="35" t="s">
        <v>25</v>
      </c>
      <c r="G252" s="35" t="s">
        <v>25</v>
      </c>
      <c r="H252" s="35" t="s">
        <v>25</v>
      </c>
      <c r="I252" s="55">
        <v>44440</v>
      </c>
      <c r="J252" s="56">
        <f>EFEITO!$J$252*EFEITO!$Y$252</f>
        <v>0</v>
      </c>
      <c r="K252" s="56">
        <f ca="1">EFEITO!$L$252*EFEITO!$Z$252</f>
        <v>8430.4970301980866</v>
      </c>
      <c r="L252" s="56">
        <f>EFEITO!$N$252*EFEITO!$AA$252</f>
        <v>4676.705596702951</v>
      </c>
      <c r="M252" s="56">
        <f>$J$252-EFEITO!$K$252*EFEITO!$Y$252</f>
        <v>0</v>
      </c>
      <c r="N252" s="56">
        <f ca="1">$K$252-EFEITO!$M$252*EFEITO!$Z$252</f>
        <v>0</v>
      </c>
      <c r="O252" s="56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5" t="s">
        <v>21</v>
      </c>
      <c r="B253" s="35" t="s">
        <v>36</v>
      </c>
      <c r="C253" s="35" t="s">
        <v>23</v>
      </c>
      <c r="D253" s="35" t="s">
        <v>37</v>
      </c>
      <c r="E253" s="35" t="s">
        <v>25</v>
      </c>
      <c r="F253" s="35" t="s">
        <v>25</v>
      </c>
      <c r="G253" s="35" t="s">
        <v>25</v>
      </c>
      <c r="H253" s="35" t="s">
        <v>25</v>
      </c>
      <c r="I253" s="55">
        <v>44470</v>
      </c>
      <c r="J253" s="56">
        <f>EFEITO!$J$253*EFEITO!$Y$253</f>
        <v>0</v>
      </c>
      <c r="K253" s="56">
        <f ca="1">EFEITO!$L$253*EFEITO!$Z$253</f>
        <v>7737.4996920031263</v>
      </c>
      <c r="L253" s="56">
        <f>EFEITO!$N$253*EFEITO!$AA$253</f>
        <v>4292.2745817310533</v>
      </c>
      <c r="M253" s="56">
        <f>$J$253-EFEITO!$K$253*EFEITO!$Y$253</f>
        <v>0</v>
      </c>
      <c r="N253" s="56">
        <f ca="1">$K$253-EFEITO!$M$253*EFEITO!$Z$253</f>
        <v>0</v>
      </c>
      <c r="O253" s="56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5" t="s">
        <v>21</v>
      </c>
      <c r="B254" s="35" t="s">
        <v>36</v>
      </c>
      <c r="C254" s="35" t="s">
        <v>23</v>
      </c>
      <c r="D254" s="35" t="s">
        <v>37</v>
      </c>
      <c r="E254" s="35" t="s">
        <v>25</v>
      </c>
      <c r="F254" s="35" t="s">
        <v>25</v>
      </c>
      <c r="G254" s="35" t="s">
        <v>25</v>
      </c>
      <c r="H254" s="35" t="s">
        <v>25</v>
      </c>
      <c r="I254" s="55">
        <v>44501</v>
      </c>
      <c r="J254" s="56">
        <f>EFEITO!$J$254*EFEITO!$Y$254</f>
        <v>0</v>
      </c>
      <c r="K254" s="56">
        <f ca="1">EFEITO!$L$254*EFEITO!$Z$254</f>
        <v>7355.5746883900765</v>
      </c>
      <c r="L254" s="56">
        <f>EFEITO!$N$254*EFEITO!$AA$254</f>
        <v>4080.4067884657279</v>
      </c>
      <c r="M254" s="56">
        <f>$J$254-EFEITO!$K$254*EFEITO!$Y$254</f>
        <v>0</v>
      </c>
      <c r="N254" s="56">
        <f ca="1">$K$254-EFEITO!$M$254*EFEITO!$Z$254</f>
        <v>0</v>
      </c>
      <c r="O254" s="56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5" t="s">
        <v>21</v>
      </c>
      <c r="B255" s="35" t="s">
        <v>36</v>
      </c>
      <c r="C255" s="35" t="s">
        <v>23</v>
      </c>
      <c r="D255" s="35" t="s">
        <v>37</v>
      </c>
      <c r="E255" s="35" t="s">
        <v>25</v>
      </c>
      <c r="F255" s="35" t="s">
        <v>25</v>
      </c>
      <c r="G255" s="35" t="s">
        <v>25</v>
      </c>
      <c r="H255" s="35" t="s">
        <v>25</v>
      </c>
      <c r="I255" s="55">
        <v>44531</v>
      </c>
      <c r="J255" s="56">
        <f>EFEITO!$J$255*EFEITO!$Y$255</f>
        <v>0</v>
      </c>
      <c r="K255" s="56">
        <f ca="1">EFEITO!$L$255*EFEITO!$Z$255</f>
        <v>7951.5135758574534</v>
      </c>
      <c r="L255" s="56">
        <f>EFEITO!$N$255*EFEITO!$AA$255</f>
        <v>4410.9959245900218</v>
      </c>
      <c r="M255" s="56">
        <f>$J$255-EFEITO!$K$255*EFEITO!$Y$255</f>
        <v>0</v>
      </c>
      <c r="N255" s="56">
        <f ca="1">$K$255-EFEITO!$M$255*EFEITO!$Z$255</f>
        <v>0</v>
      </c>
      <c r="O255" s="56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5" t="s">
        <v>21</v>
      </c>
      <c r="B256" s="35" t="s">
        <v>36</v>
      </c>
      <c r="C256" s="35" t="s">
        <v>23</v>
      </c>
      <c r="D256" s="35" t="s">
        <v>37</v>
      </c>
      <c r="E256" s="35" t="s">
        <v>25</v>
      </c>
      <c r="F256" s="35" t="s">
        <v>25</v>
      </c>
      <c r="G256" s="35" t="s">
        <v>25</v>
      </c>
      <c r="H256" s="35" t="s">
        <v>25</v>
      </c>
      <c r="I256" s="55">
        <v>44562</v>
      </c>
      <c r="J256" s="56">
        <f>EFEITO!$J$256*EFEITO!$Y$256</f>
        <v>0</v>
      </c>
      <c r="K256" s="56">
        <f ca="1">EFEITO!$L$256*EFEITO!$Z$256</f>
        <v>9567.5367804717534</v>
      </c>
      <c r="L256" s="56">
        <f>EFEITO!$N$256*EFEITO!$AA$256</f>
        <v>5307.4632074026413</v>
      </c>
      <c r="M256" s="56">
        <f>$J$256-EFEITO!$K$256*EFEITO!$Y$256</f>
        <v>0</v>
      </c>
      <c r="N256" s="56">
        <f ca="1">$K$256-EFEITO!$M$256*EFEITO!$Z$256</f>
        <v>0</v>
      </c>
      <c r="O256" s="56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5" t="s">
        <v>21</v>
      </c>
      <c r="B257" s="35" t="s">
        <v>36</v>
      </c>
      <c r="C257" s="35" t="s">
        <v>23</v>
      </c>
      <c r="D257" s="35" t="s">
        <v>37</v>
      </c>
      <c r="E257" s="35" t="s">
        <v>25</v>
      </c>
      <c r="F257" s="35" t="s">
        <v>25</v>
      </c>
      <c r="G257" s="35" t="s">
        <v>25</v>
      </c>
      <c r="H257" s="35" t="s">
        <v>25</v>
      </c>
      <c r="I257" s="55">
        <v>44593</v>
      </c>
      <c r="J257" s="56">
        <f>EFEITO!$J$257*EFEITO!$Y$257</f>
        <v>0</v>
      </c>
      <c r="K257" s="56">
        <f ca="1">EFEITO!$L$257*EFEITO!$Z$257</f>
        <v>8030.6162132004338</v>
      </c>
      <c r="L257" s="56">
        <f>EFEITO!$N$257*EFEITO!$AA$257</f>
        <v>4454.8770558508186</v>
      </c>
      <c r="M257" s="56">
        <f>$J$257-EFEITO!$K$257*EFEITO!$Y$257</f>
        <v>0</v>
      </c>
      <c r="N257" s="56">
        <f ca="1">$K$257-EFEITO!$M$257*EFEITO!$Z$257</f>
        <v>0</v>
      </c>
      <c r="O257" s="56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5" t="s">
        <v>21</v>
      </c>
      <c r="B258" s="35" t="s">
        <v>36</v>
      </c>
      <c r="C258" s="35" t="s">
        <v>23</v>
      </c>
      <c r="D258" s="35" t="s">
        <v>37</v>
      </c>
      <c r="E258" s="35" t="s">
        <v>25</v>
      </c>
      <c r="F258" s="35" t="s">
        <v>25</v>
      </c>
      <c r="G258" s="35" t="s">
        <v>25</v>
      </c>
      <c r="H258" s="35" t="s">
        <v>25</v>
      </c>
      <c r="I258" s="55">
        <v>44621</v>
      </c>
      <c r="J258" s="56">
        <f>EFEITO!$J$258*EFEITO!$Y$258</f>
        <v>0</v>
      </c>
      <c r="K258" s="56">
        <f ca="1">EFEITO!$L$258*EFEITO!$Z$258</f>
        <v>9598.5954847045796</v>
      </c>
      <c r="L258" s="56">
        <f>EFEITO!$N$258*EFEITO!$AA$258</f>
        <v>5324.6926086338744</v>
      </c>
      <c r="M258" s="56">
        <f>$J$258-EFEITO!$K$258*EFEITO!$Y$258</f>
        <v>0</v>
      </c>
      <c r="N258" s="56">
        <f ca="1">$K$258-EFEITO!$M$258*EFEITO!$Z$258</f>
        <v>0</v>
      </c>
      <c r="O258" s="56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5" t="s">
        <v>21</v>
      </c>
      <c r="B259" s="35" t="s">
        <v>36</v>
      </c>
      <c r="C259" s="35" t="s">
        <v>23</v>
      </c>
      <c r="D259" s="35" t="s">
        <v>37</v>
      </c>
      <c r="E259" s="35" t="s">
        <v>25</v>
      </c>
      <c r="F259" s="35" t="s">
        <v>25</v>
      </c>
      <c r="G259" s="35" t="s">
        <v>25</v>
      </c>
      <c r="H259" s="35" t="s">
        <v>25</v>
      </c>
      <c r="I259" s="55">
        <v>44652</v>
      </c>
      <c r="J259" s="56">
        <f>EFEITO!$J$259*EFEITO!$Y$259</f>
        <v>0</v>
      </c>
      <c r="K259" s="56">
        <f ca="1">EFEITO!$L$259*EFEITO!$Z$259</f>
        <v>8225.7036991628811</v>
      </c>
      <c r="L259" s="56">
        <f>EFEITO!$N$259*EFEITO!$AA$259</f>
        <v>4563.0992323345044</v>
      </c>
      <c r="M259" s="56">
        <f>$J$259-EFEITO!$K$259*EFEITO!$Y$259</f>
        <v>0</v>
      </c>
      <c r="N259" s="56">
        <f ca="1">$K$259-EFEITO!$M$259*EFEITO!$Z$259</f>
        <v>0</v>
      </c>
      <c r="O259" s="56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35" t="s">
        <v>21</v>
      </c>
      <c r="B260" s="35" t="s">
        <v>36</v>
      </c>
      <c r="C260" s="35" t="s">
        <v>23</v>
      </c>
      <c r="D260" s="35" t="s">
        <v>37</v>
      </c>
      <c r="E260" s="35" t="s">
        <v>25</v>
      </c>
      <c r="F260" s="35" t="s">
        <v>25</v>
      </c>
      <c r="G260" s="35" t="s">
        <v>25</v>
      </c>
      <c r="H260" s="35" t="s">
        <v>25</v>
      </c>
      <c r="I260" s="55">
        <v>44682</v>
      </c>
      <c r="J260" s="56">
        <f>EFEITO!$J$260*EFEITO!$Y$260</f>
        <v>0</v>
      </c>
      <c r="K260" s="56">
        <f ca="1">EFEITO!$L$260*EFEITO!$Z$260</f>
        <v>9257.4350303971169</v>
      </c>
      <c r="L260" s="56">
        <f>EFEITO!$N$260*EFEITO!$AA$260</f>
        <v>5135.4384044845438</v>
      </c>
      <c r="M260" s="56">
        <f>$J$260-EFEITO!$K$260*EFEITO!$Y$260</f>
        <v>0</v>
      </c>
      <c r="N260" s="56">
        <f ca="1">$K$260-EFEITO!$M$260*EFEITO!$Z$260</f>
        <v>0</v>
      </c>
      <c r="O260" s="56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35" t="s">
        <v>21</v>
      </c>
      <c r="B261" s="35" t="s">
        <v>36</v>
      </c>
      <c r="C261" s="35" t="s">
        <v>23</v>
      </c>
      <c r="D261" s="35" t="s">
        <v>37</v>
      </c>
      <c r="E261" s="35" t="s">
        <v>25</v>
      </c>
      <c r="F261" s="35" t="s">
        <v>25</v>
      </c>
      <c r="G261" s="35" t="s">
        <v>25</v>
      </c>
      <c r="H261" s="35" t="s">
        <v>25</v>
      </c>
      <c r="I261" s="55">
        <v>44713</v>
      </c>
      <c r="J261" s="56">
        <f>EFEITO!$J$261*EFEITO!$Y$261</f>
        <v>0</v>
      </c>
      <c r="K261" s="56">
        <f ca="1">EFEITO!$L$261*EFEITO!$Z$261</f>
        <v>8177.1744737990894</v>
      </c>
      <c r="L261" s="56">
        <f>EFEITO!$N$261*EFEITO!$AA$261</f>
        <v>4536.178292910703</v>
      </c>
      <c r="M261" s="56">
        <f>$J$261-EFEITO!$K$261*EFEITO!$Y$261</f>
        <v>0</v>
      </c>
      <c r="N261" s="56">
        <f ca="1">$K$261-EFEITO!$M$261*EFEITO!$Z$261</f>
        <v>0</v>
      </c>
      <c r="O261" s="56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35" t="s">
        <v>27</v>
      </c>
      <c r="B262" s="35" t="s">
        <v>36</v>
      </c>
      <c r="C262" s="35" t="s">
        <v>23</v>
      </c>
      <c r="D262" s="35" t="s">
        <v>37</v>
      </c>
      <c r="E262" s="35" t="s">
        <v>25</v>
      </c>
      <c r="F262" s="35" t="s">
        <v>25</v>
      </c>
      <c r="G262" s="35" t="s">
        <v>25</v>
      </c>
      <c r="H262" s="35" t="s">
        <v>25</v>
      </c>
      <c r="I262" s="55">
        <v>44713</v>
      </c>
      <c r="J262" s="56">
        <f>EFEITO!$J$262*EFEITO!$Y$262</f>
        <v>0</v>
      </c>
      <c r="K262" s="56">
        <f ca="1">EFEITO!$L$262*EFEITO!$Z$262</f>
        <v>-127.63186270677511</v>
      </c>
      <c r="L262" s="56">
        <f>EFEITO!$N$262*EFEITO!$AA$262</f>
        <v>-70.802070684600281</v>
      </c>
      <c r="M262" s="56">
        <f>$J$262-EFEITO!$K$262*EFEITO!$Y$262</f>
        <v>0</v>
      </c>
      <c r="N262" s="56">
        <f ca="1">$K$262-EFEITO!$M$262*EFEITO!$Z$262</f>
        <v>0</v>
      </c>
      <c r="O262" s="56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35" t="s">
        <v>21</v>
      </c>
      <c r="B263" s="35" t="s">
        <v>36</v>
      </c>
      <c r="C263" s="35" t="s">
        <v>23</v>
      </c>
      <c r="D263" s="35" t="s">
        <v>37</v>
      </c>
      <c r="E263" s="35" t="s">
        <v>25</v>
      </c>
      <c r="F263" s="35" t="s">
        <v>25</v>
      </c>
      <c r="G263" s="35" t="s">
        <v>25</v>
      </c>
      <c r="H263" s="35" t="s">
        <v>25</v>
      </c>
      <c r="I263" s="55">
        <v>44743</v>
      </c>
      <c r="J263" s="56">
        <f>EFEITO!$J$263*EFEITO!$Y$263</f>
        <v>0</v>
      </c>
      <c r="K263" s="56">
        <f ca="1">EFEITO!$L$263*EFEITO!$Z$263</f>
        <v>8060.7043329259859</v>
      </c>
      <c r="L263" s="56">
        <f>EFEITO!$N$263*EFEITO!$AA$263</f>
        <v>4471.568038293577</v>
      </c>
      <c r="M263" s="56">
        <f>$J$263-EFEITO!$K$263*EFEITO!$Y$263</f>
        <v>0</v>
      </c>
      <c r="N263" s="56">
        <f ca="1">$K$263-EFEITO!$M$263*EFEITO!$Z$263</f>
        <v>0</v>
      </c>
      <c r="O263" s="56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35" t="s">
        <v>21</v>
      </c>
      <c r="B264" s="35" t="s">
        <v>36</v>
      </c>
      <c r="C264" s="35" t="s">
        <v>23</v>
      </c>
      <c r="D264" s="35" t="s">
        <v>37</v>
      </c>
      <c r="E264" s="35" t="s">
        <v>25</v>
      </c>
      <c r="F264" s="35" t="s">
        <v>25</v>
      </c>
      <c r="G264" s="35" t="s">
        <v>25</v>
      </c>
      <c r="H264" s="35" t="s">
        <v>25</v>
      </c>
      <c r="I264" s="55">
        <v>44774</v>
      </c>
      <c r="J264" s="56">
        <f>EFEITO!$J$264*EFEITO!$Y$264</f>
        <v>0</v>
      </c>
      <c r="K264" s="56">
        <f ca="1">EFEITO!$L$264*EFEITO!$Z$264</f>
        <v>8443.1146287926731</v>
      </c>
      <c r="L264" s="56">
        <f>EFEITO!$N$264*EFEITO!$AA$264</f>
        <v>4683.7050409531394</v>
      </c>
      <c r="M264" s="56">
        <f>$J$264-EFEITO!$K$264*EFEITO!$Y$264</f>
        <v>0</v>
      </c>
      <c r="N264" s="56">
        <f ca="1">$K$264-EFEITO!$M$264*EFEITO!$Z$264</f>
        <v>0</v>
      </c>
      <c r="O264" s="56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35" t="s">
        <v>21</v>
      </c>
      <c r="B265" s="35" t="s">
        <v>36</v>
      </c>
      <c r="C265" s="35" t="s">
        <v>23</v>
      </c>
      <c r="D265" s="35" t="s">
        <v>43</v>
      </c>
      <c r="E265" s="35" t="s">
        <v>25</v>
      </c>
      <c r="F265" s="35" t="s">
        <v>25</v>
      </c>
      <c r="G265" s="35" t="s">
        <v>25</v>
      </c>
      <c r="H265" s="35" t="s">
        <v>25</v>
      </c>
      <c r="I265" s="55">
        <v>44440</v>
      </c>
      <c r="J265" s="56">
        <f>EFEITO!$J$265*EFEITO!$Y$265</f>
        <v>0</v>
      </c>
      <c r="K265" s="56">
        <f ca="1">EFEITO!$L$265*EFEITO!$Z$265</f>
        <v>3258.2521909250495</v>
      </c>
      <c r="L265" s="56">
        <f>EFEITO!$N$265*EFEITO!$AA$265</f>
        <v>1807.4718729140925</v>
      </c>
      <c r="M265" s="56">
        <f>$J$265-EFEITO!$K$265*EFEITO!$Y$265</f>
        <v>0</v>
      </c>
      <c r="N265" s="56">
        <f ca="1">$K$265-EFEITO!$M$265*EFEITO!$Z$265</f>
        <v>0</v>
      </c>
      <c r="O265" s="56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35" t="s">
        <v>21</v>
      </c>
      <c r="B266" s="35" t="s">
        <v>36</v>
      </c>
      <c r="C266" s="35" t="s">
        <v>23</v>
      </c>
      <c r="D266" s="35" t="s">
        <v>43</v>
      </c>
      <c r="E266" s="35" t="s">
        <v>25</v>
      </c>
      <c r="F266" s="35" t="s">
        <v>25</v>
      </c>
      <c r="G266" s="35" t="s">
        <v>25</v>
      </c>
      <c r="H266" s="35" t="s">
        <v>25</v>
      </c>
      <c r="I266" s="55">
        <v>44470</v>
      </c>
      <c r="J266" s="56">
        <f>EFEITO!$J$266*EFEITO!$Y$266</f>
        <v>0</v>
      </c>
      <c r="K266" s="56">
        <f ca="1">EFEITO!$L$266*EFEITO!$Z$266</f>
        <v>2977.2679760686888</v>
      </c>
      <c r="L266" s="56">
        <f>EFEITO!$N$266*EFEITO!$AA$266</f>
        <v>1651.5996336502765</v>
      </c>
      <c r="M266" s="56">
        <f>$J$266-EFEITO!$K$266*EFEITO!$Y$266</f>
        <v>0</v>
      </c>
      <c r="N266" s="56">
        <f ca="1">$K$266-EFEITO!$M$266*EFEITO!$Z$266</f>
        <v>0</v>
      </c>
      <c r="O266" s="56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35" t="s">
        <v>21</v>
      </c>
      <c r="B267" s="35" t="s">
        <v>36</v>
      </c>
      <c r="C267" s="35" t="s">
        <v>23</v>
      </c>
      <c r="D267" s="35" t="s">
        <v>43</v>
      </c>
      <c r="E267" s="35" t="s">
        <v>25</v>
      </c>
      <c r="F267" s="35" t="s">
        <v>25</v>
      </c>
      <c r="G267" s="35" t="s">
        <v>25</v>
      </c>
      <c r="H267" s="35" t="s">
        <v>25</v>
      </c>
      <c r="I267" s="55">
        <v>44501</v>
      </c>
      <c r="J267" s="56">
        <f>EFEITO!$J$267*EFEITO!$Y$267</f>
        <v>0</v>
      </c>
      <c r="K267" s="56">
        <f ca="1">EFEITO!$L$267*EFEITO!$Z$267</f>
        <v>2805.4745182808624</v>
      </c>
      <c r="L267" s="56">
        <f>EFEITO!$N$267*EFEITO!$AA$267</f>
        <v>1556.2995080900159</v>
      </c>
      <c r="M267" s="56">
        <f>$J$267-EFEITO!$K$267*EFEITO!$Y$267</f>
        <v>0</v>
      </c>
      <c r="N267" s="56">
        <f ca="1">$K$267-EFEITO!$M$267*EFEITO!$Z$267</f>
        <v>0</v>
      </c>
      <c r="O267" s="56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35" t="s">
        <v>21</v>
      </c>
      <c r="B268" s="35" t="s">
        <v>36</v>
      </c>
      <c r="C268" s="35" t="s">
        <v>23</v>
      </c>
      <c r="D268" s="35" t="s">
        <v>43</v>
      </c>
      <c r="E268" s="35" t="s">
        <v>25</v>
      </c>
      <c r="F268" s="35" t="s">
        <v>25</v>
      </c>
      <c r="G268" s="35" t="s">
        <v>25</v>
      </c>
      <c r="H268" s="35" t="s">
        <v>25</v>
      </c>
      <c r="I268" s="55">
        <v>44531</v>
      </c>
      <c r="J268" s="56">
        <f>EFEITO!$J$268*EFEITO!$Y$268</f>
        <v>0</v>
      </c>
      <c r="K268" s="56">
        <f ca="1">EFEITO!$L$268*EFEITO!$Z$268</f>
        <v>3128.1938669500846</v>
      </c>
      <c r="L268" s="56">
        <f>EFEITO!$N$268*EFEITO!$AA$268</f>
        <v>1735.3237552583018</v>
      </c>
      <c r="M268" s="56">
        <f>$J$268-EFEITO!$K$268*EFEITO!$Y$268</f>
        <v>0</v>
      </c>
      <c r="N268" s="56">
        <f ca="1">$K$268-EFEITO!$M$268*EFEITO!$Z$268</f>
        <v>0</v>
      </c>
      <c r="O268" s="56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35" t="s">
        <v>21</v>
      </c>
      <c r="B269" s="35" t="s">
        <v>36</v>
      </c>
      <c r="C269" s="35" t="s">
        <v>23</v>
      </c>
      <c r="D269" s="35" t="s">
        <v>43</v>
      </c>
      <c r="E269" s="35" t="s">
        <v>25</v>
      </c>
      <c r="F269" s="35" t="s">
        <v>25</v>
      </c>
      <c r="G269" s="35" t="s">
        <v>25</v>
      </c>
      <c r="H269" s="35" t="s">
        <v>25</v>
      </c>
      <c r="I269" s="55">
        <v>44562</v>
      </c>
      <c r="J269" s="56">
        <f>EFEITO!$J$269*EFEITO!$Y$269</f>
        <v>0</v>
      </c>
      <c r="K269" s="56">
        <f ca="1">EFEITO!$L$269*EFEITO!$Z$269</f>
        <v>3092.7675324345159</v>
      </c>
      <c r="L269" s="56">
        <f>EFEITO!$N$269*EFEITO!$AA$269</f>
        <v>1715.6714694789264</v>
      </c>
      <c r="M269" s="56">
        <f>$J$269-EFEITO!$K$269*EFEITO!$Y$269</f>
        <v>0</v>
      </c>
      <c r="N269" s="56">
        <f ca="1">$K$269-EFEITO!$M$269*EFEITO!$Z$269</f>
        <v>0</v>
      </c>
      <c r="O269" s="56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35" t="s">
        <v>21</v>
      </c>
      <c r="B270" s="35" t="s">
        <v>36</v>
      </c>
      <c r="C270" s="35" t="s">
        <v>23</v>
      </c>
      <c r="D270" s="35" t="s">
        <v>43</v>
      </c>
      <c r="E270" s="35" t="s">
        <v>25</v>
      </c>
      <c r="F270" s="35" t="s">
        <v>25</v>
      </c>
      <c r="G270" s="35" t="s">
        <v>25</v>
      </c>
      <c r="H270" s="35" t="s">
        <v>25</v>
      </c>
      <c r="I270" s="55">
        <v>44593</v>
      </c>
      <c r="J270" s="56">
        <f>EFEITO!$J$270*EFEITO!$Y$270</f>
        <v>0</v>
      </c>
      <c r="K270" s="56">
        <f ca="1">EFEITO!$L$270*EFEITO!$Z$270</f>
        <v>3370.3547015154109</v>
      </c>
      <c r="L270" s="56">
        <f>EFEITO!$N$270*EFEITO!$AA$270</f>
        <v>1869.659242983076</v>
      </c>
      <c r="M270" s="56">
        <f>$J$270-EFEITO!$K$270*EFEITO!$Y$270</f>
        <v>0</v>
      </c>
      <c r="N270" s="56">
        <f ca="1">$K$270-EFEITO!$M$270*EFEITO!$Z$270</f>
        <v>0</v>
      </c>
      <c r="O270" s="56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35" t="s">
        <v>21</v>
      </c>
      <c r="B271" s="35" t="s">
        <v>36</v>
      </c>
      <c r="C271" s="35" t="s">
        <v>23</v>
      </c>
      <c r="D271" s="35" t="s">
        <v>43</v>
      </c>
      <c r="E271" s="35" t="s">
        <v>25</v>
      </c>
      <c r="F271" s="35" t="s">
        <v>25</v>
      </c>
      <c r="G271" s="35" t="s">
        <v>25</v>
      </c>
      <c r="H271" s="35" t="s">
        <v>25</v>
      </c>
      <c r="I271" s="55">
        <v>44621</v>
      </c>
      <c r="J271" s="56">
        <f>EFEITO!$J$271*EFEITO!$Y$271</f>
        <v>0</v>
      </c>
      <c r="K271" s="56">
        <f ca="1">EFEITO!$L$271*EFEITO!$Z$271</f>
        <v>3711.515155822874</v>
      </c>
      <c r="L271" s="56">
        <f>EFEITO!$N$271*EFEITO!$AA$271</f>
        <v>2058.9134471324064</v>
      </c>
      <c r="M271" s="56">
        <f>$J$271-EFEITO!$K$271*EFEITO!$Y$271</f>
        <v>0</v>
      </c>
      <c r="N271" s="56">
        <f ca="1">$K$271-EFEITO!$M$271*EFEITO!$Z$271</f>
        <v>0</v>
      </c>
      <c r="O271" s="56">
        <f>$L$271-EFEITO!$O$271*EFEITO!$AA$271</f>
        <v>0</v>
      </c>
      <c r="P271" s="39"/>
      <c r="Q271" s="39"/>
      <c r="R271" s="39"/>
      <c r="S271" s="39"/>
      <c r="T271" s="39"/>
      <c r="U271" s="39"/>
      <c r="V271" s="39"/>
      <c r="W271" s="3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35" t="s">
        <v>21</v>
      </c>
      <c r="B272" s="35" t="s">
        <v>36</v>
      </c>
      <c r="C272" s="35" t="s">
        <v>23</v>
      </c>
      <c r="D272" s="35" t="s">
        <v>43</v>
      </c>
      <c r="E272" s="35" t="s">
        <v>25</v>
      </c>
      <c r="F272" s="35" t="s">
        <v>25</v>
      </c>
      <c r="G272" s="35" t="s">
        <v>25</v>
      </c>
      <c r="H272" s="35" t="s">
        <v>25</v>
      </c>
      <c r="I272" s="55">
        <v>44652</v>
      </c>
      <c r="J272" s="56">
        <f>EFEITO!$J$272*EFEITO!$Y$272</f>
        <v>0</v>
      </c>
      <c r="K272" s="56">
        <f ca="1">EFEITO!$L$272*EFEITO!$Z$272</f>
        <v>3169.4437085093086</v>
      </c>
      <c r="L272" s="56">
        <f>EFEITO!$N$272*EFEITO!$AA$272</f>
        <v>1758.2065537685339</v>
      </c>
      <c r="M272" s="56">
        <f>$J$272-EFEITO!$K$272*EFEITO!$Y$272</f>
        <v>0</v>
      </c>
      <c r="N272" s="56">
        <f ca="1">$K$272-EFEITO!$M$272*EFEITO!$Z$272</f>
        <v>0</v>
      </c>
      <c r="O272" s="56">
        <f>$L$272-EFEITO!$O$272*EFEITO!$AA$272</f>
        <v>0</v>
      </c>
      <c r="P272" s="39"/>
      <c r="Q272" s="39"/>
      <c r="R272" s="39"/>
      <c r="S272" s="39"/>
      <c r="T272" s="39"/>
      <c r="U272" s="39"/>
      <c r="V272" s="39"/>
      <c r="W272" s="3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35" t="s">
        <v>21</v>
      </c>
      <c r="B273" s="35" t="s">
        <v>36</v>
      </c>
      <c r="C273" s="35" t="s">
        <v>23</v>
      </c>
      <c r="D273" s="35" t="s">
        <v>43</v>
      </c>
      <c r="E273" s="35" t="s">
        <v>25</v>
      </c>
      <c r="F273" s="35" t="s">
        <v>25</v>
      </c>
      <c r="G273" s="35" t="s">
        <v>25</v>
      </c>
      <c r="H273" s="35" t="s">
        <v>25</v>
      </c>
      <c r="I273" s="55">
        <v>44682</v>
      </c>
      <c r="J273" s="56">
        <f>EFEITO!$J$273*EFEITO!$Y$273</f>
        <v>0</v>
      </c>
      <c r="K273" s="56">
        <f ca="1">EFEITO!$L$273*EFEITO!$Z$273</f>
        <v>3401.8986980018763</v>
      </c>
      <c r="L273" s="56">
        <f>EFEITO!$N$273*EFEITO!$AA$273</f>
        <v>1887.1578536085474</v>
      </c>
      <c r="M273" s="56">
        <f>$J$273-EFEITO!$K$273*EFEITO!$Y$273</f>
        <v>0</v>
      </c>
      <c r="N273" s="56">
        <f ca="1">$K$273-EFEITO!$M$273*EFEITO!$Z$273</f>
        <v>0</v>
      </c>
      <c r="O273" s="56">
        <f>$L$273-EFEITO!$O$273*EFEITO!$AA$273</f>
        <v>0</v>
      </c>
      <c r="P273" s="39"/>
      <c r="Q273" s="39"/>
      <c r="R273" s="39"/>
      <c r="S273" s="39"/>
      <c r="T273" s="39"/>
      <c r="U273" s="39"/>
      <c r="V273" s="39"/>
      <c r="W273" s="3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35" t="s">
        <v>21</v>
      </c>
      <c r="B274" s="35" t="s">
        <v>36</v>
      </c>
      <c r="C274" s="35" t="s">
        <v>23</v>
      </c>
      <c r="D274" s="35" t="s">
        <v>43</v>
      </c>
      <c r="E274" s="35" t="s">
        <v>25</v>
      </c>
      <c r="F274" s="35" t="s">
        <v>25</v>
      </c>
      <c r="G274" s="35" t="s">
        <v>25</v>
      </c>
      <c r="H274" s="35" t="s">
        <v>25</v>
      </c>
      <c r="I274" s="55">
        <v>44713</v>
      </c>
      <c r="J274" s="56">
        <f>EFEITO!$J$274*EFEITO!$Y$274</f>
        <v>0</v>
      </c>
      <c r="K274" s="56">
        <f ca="1">EFEITO!$L$274*EFEITO!$Z$274</f>
        <v>2652.6074583849154</v>
      </c>
      <c r="L274" s="56">
        <f>EFEITO!$N$274*EFEITO!$AA$274</f>
        <v>1471.4985489050387</v>
      </c>
      <c r="M274" s="56">
        <f>$J$274-EFEITO!$K$274*EFEITO!$Y$274</f>
        <v>0</v>
      </c>
      <c r="N274" s="56">
        <f ca="1">$K$274-EFEITO!$M$274*EFEITO!$Z$274</f>
        <v>0</v>
      </c>
      <c r="O274" s="56">
        <f>$L$274-EFEITO!$O$274*EFEITO!$AA$274</f>
        <v>0</v>
      </c>
      <c r="P274" s="39"/>
      <c r="Q274" s="39"/>
      <c r="R274" s="39"/>
      <c r="S274" s="39"/>
      <c r="T274" s="39"/>
      <c r="U274" s="39"/>
      <c r="V274" s="39"/>
      <c r="W274" s="3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35" t="s">
        <v>21</v>
      </c>
      <c r="B275" s="35" t="s">
        <v>36</v>
      </c>
      <c r="C275" s="35" t="s">
        <v>23</v>
      </c>
      <c r="D275" s="35" t="s">
        <v>43</v>
      </c>
      <c r="E275" s="35" t="s">
        <v>25</v>
      </c>
      <c r="F275" s="35" t="s">
        <v>25</v>
      </c>
      <c r="G275" s="35" t="s">
        <v>25</v>
      </c>
      <c r="H275" s="35" t="s">
        <v>25</v>
      </c>
      <c r="I275" s="55">
        <v>44743</v>
      </c>
      <c r="J275" s="56">
        <f>EFEITO!$J$275*EFEITO!$Y$275</f>
        <v>0</v>
      </c>
      <c r="K275" s="56">
        <f ca="1">EFEITO!$L$275*EFEITO!$Z$275</f>
        <v>2864.194880971052</v>
      </c>
      <c r="L275" s="56">
        <f>EFEITO!$N$275*EFEITO!$AA$275</f>
        <v>1588.873844792817</v>
      </c>
      <c r="M275" s="56">
        <f>$J$275-EFEITO!$K$275*EFEITO!$Y$275</f>
        <v>0</v>
      </c>
      <c r="N275" s="56">
        <f ca="1">$K$275-EFEITO!$M$275*EFEITO!$Z$275</f>
        <v>0</v>
      </c>
      <c r="O275" s="56">
        <f>$L$275-EFEITO!$O$275*EFEITO!$AA$275</f>
        <v>0</v>
      </c>
      <c r="P275" s="39"/>
      <c r="Q275" s="39"/>
      <c r="R275" s="39"/>
      <c r="S275" s="39"/>
      <c r="T275" s="39"/>
      <c r="U275" s="39"/>
      <c r="V275" s="39"/>
      <c r="W275" s="3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35" t="s">
        <v>21</v>
      </c>
      <c r="B276" s="35" t="s">
        <v>36</v>
      </c>
      <c r="C276" s="35" t="s">
        <v>23</v>
      </c>
      <c r="D276" s="35" t="s">
        <v>43</v>
      </c>
      <c r="E276" s="35" t="s">
        <v>25</v>
      </c>
      <c r="F276" s="35" t="s">
        <v>25</v>
      </c>
      <c r="G276" s="35" t="s">
        <v>25</v>
      </c>
      <c r="H276" s="35" t="s">
        <v>25</v>
      </c>
      <c r="I276" s="55">
        <v>44774</v>
      </c>
      <c r="J276" s="56">
        <f>EFEITO!$J$276*EFEITO!$Y$276</f>
        <v>0</v>
      </c>
      <c r="K276" s="56">
        <f ca="1">EFEITO!$L$276*EFEITO!$Z$276</f>
        <v>2837.0185147673278</v>
      </c>
      <c r="L276" s="56">
        <f>EFEITO!$N$276*EFEITO!$AA$276</f>
        <v>1573.7981187154876</v>
      </c>
      <c r="M276" s="56">
        <f>$J$276-EFEITO!$K$276*EFEITO!$Y$276</f>
        <v>0</v>
      </c>
      <c r="N276" s="56">
        <f ca="1">$K$276-EFEITO!$M$276*EFEITO!$Z$276</f>
        <v>0</v>
      </c>
      <c r="O276" s="56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35" t="s">
        <v>21</v>
      </c>
      <c r="B277" s="35" t="s">
        <v>36</v>
      </c>
      <c r="C277" s="35" t="s">
        <v>23</v>
      </c>
      <c r="D277" s="35" t="s">
        <v>47</v>
      </c>
      <c r="E277" s="35" t="s">
        <v>48</v>
      </c>
      <c r="F277" s="35" t="s">
        <v>25</v>
      </c>
      <c r="G277" s="35" t="s">
        <v>25</v>
      </c>
      <c r="H277" s="35" t="s">
        <v>25</v>
      </c>
      <c r="I277" s="55">
        <v>44440</v>
      </c>
      <c r="J277" s="56">
        <f>EFEITO!$J$277*EFEITO!$Y$276</f>
        <v>0</v>
      </c>
      <c r="K277" s="56">
        <f ca="1">EFEITO!$L$277*EFEITO!$Z$276</f>
        <v>12252.658819850411</v>
      </c>
      <c r="L277" s="56">
        <f>EFEITO!$N$277*EFEITO!$AA$276</f>
        <v>6796.9987857216274</v>
      </c>
      <c r="M277" s="56">
        <f>$J$277-EFEITO!$K$277*EFEITO!$Y$277</f>
        <v>0</v>
      </c>
      <c r="N277" s="56">
        <f ca="1">$K$277-EFEITO!$M$277*EFEITO!$Z$277</f>
        <v>0</v>
      </c>
      <c r="O277" s="56">
        <f>$L$277-EFEITO!$O$277*EFEITO!$AA$277</f>
        <v>203.90996357164931</v>
      </c>
      <c r="P277" s="39"/>
      <c r="Q277" s="39"/>
      <c r="R277" s="39"/>
      <c r="S277" s="39"/>
      <c r="T277" s="39"/>
      <c r="U277" s="39"/>
      <c r="V277" s="39"/>
      <c r="W277" s="3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35" t="s">
        <v>21</v>
      </c>
      <c r="B278" s="35" t="s">
        <v>36</v>
      </c>
      <c r="C278" s="35" t="s">
        <v>23</v>
      </c>
      <c r="D278" s="35" t="s">
        <v>47</v>
      </c>
      <c r="E278" s="35" t="s">
        <v>48</v>
      </c>
      <c r="F278" s="35" t="s">
        <v>25</v>
      </c>
      <c r="G278" s="35" t="s">
        <v>25</v>
      </c>
      <c r="H278" s="35" t="s">
        <v>25</v>
      </c>
      <c r="I278" s="55">
        <v>44470</v>
      </c>
      <c r="J278" s="56">
        <f>EFEITO!$J$278*EFEITO!$Y$276</f>
        <v>0</v>
      </c>
      <c r="K278" s="56">
        <f ca="1">EFEITO!$L$278*EFEITO!$Z$276</f>
        <v>13686.212137096851</v>
      </c>
      <c r="L278" s="56">
        <f>EFEITO!$N$278*EFEITO!$AA$276</f>
        <v>7592.2433363007503</v>
      </c>
      <c r="M278" s="56">
        <f>$J$278-EFEITO!$K$278*EFEITO!$Y$278</f>
        <v>0</v>
      </c>
      <c r="N278" s="56">
        <f ca="1">$K$278-EFEITO!$M$278*EFEITO!$Z$278</f>
        <v>0</v>
      </c>
      <c r="O278" s="56">
        <f>$L$278-EFEITO!$O$278*EFEITO!$AA$278</f>
        <v>227.76730008902359</v>
      </c>
      <c r="P278" s="39"/>
      <c r="Q278" s="39"/>
      <c r="R278" s="39"/>
      <c r="S278" s="39"/>
      <c r="T278" s="39"/>
      <c r="U278" s="39"/>
      <c r="V278" s="39"/>
      <c r="W278" s="3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35" t="s">
        <v>21</v>
      </c>
      <c r="B279" s="35" t="s">
        <v>36</v>
      </c>
      <c r="C279" s="35" t="s">
        <v>23</v>
      </c>
      <c r="D279" s="35" t="s">
        <v>47</v>
      </c>
      <c r="E279" s="35" t="s">
        <v>48</v>
      </c>
      <c r="F279" s="35" t="s">
        <v>25</v>
      </c>
      <c r="G279" s="35" t="s">
        <v>25</v>
      </c>
      <c r="H279" s="35" t="s">
        <v>25</v>
      </c>
      <c r="I279" s="55">
        <v>44501</v>
      </c>
      <c r="J279" s="56">
        <f>EFEITO!$J$279*EFEITO!$Y$276</f>
        <v>0</v>
      </c>
      <c r="K279" s="56">
        <f ca="1">EFEITO!$L$279*EFEITO!$Z$276</f>
        <v>13066.493929201215</v>
      </c>
      <c r="L279" s="56">
        <f>EFEITO!$N$279*EFEITO!$AA$276</f>
        <v>7248.4629398587931</v>
      </c>
      <c r="M279" s="56">
        <f>$J$279-EFEITO!$K$279*EFEITO!$Y$279</f>
        <v>0</v>
      </c>
      <c r="N279" s="56">
        <f ca="1">$K$279-EFEITO!$M$279*EFEITO!$Z$279</f>
        <v>0</v>
      </c>
      <c r="O279" s="56">
        <f>$L$279-EFEITO!$O$279*EFEITO!$AA$279</f>
        <v>217.45388819576419</v>
      </c>
      <c r="P279" s="39"/>
      <c r="Q279" s="39"/>
      <c r="R279" s="39"/>
      <c r="S279" s="39"/>
      <c r="T279" s="39"/>
      <c r="U279" s="39"/>
      <c r="V279" s="39"/>
      <c r="W279" s="3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35" t="s">
        <v>21</v>
      </c>
      <c r="B280" s="35" t="s">
        <v>36</v>
      </c>
      <c r="C280" s="35" t="s">
        <v>23</v>
      </c>
      <c r="D280" s="35" t="s">
        <v>47</v>
      </c>
      <c r="E280" s="35" t="s">
        <v>48</v>
      </c>
      <c r="F280" s="35" t="s">
        <v>25</v>
      </c>
      <c r="G280" s="35" t="s">
        <v>25</v>
      </c>
      <c r="H280" s="35" t="s">
        <v>25</v>
      </c>
      <c r="I280" s="55">
        <v>44531</v>
      </c>
      <c r="J280" s="56">
        <f>EFEITO!$J$280*EFEITO!$Y$276</f>
        <v>0</v>
      </c>
      <c r="K280" s="56">
        <f ca="1">EFEITO!$L$280*EFEITO!$Z$276</f>
        <v>13361.551619413076</v>
      </c>
      <c r="L280" s="56">
        <f>EFEITO!$N$280*EFEITO!$AA$276</f>
        <v>7412.1422515555123</v>
      </c>
      <c r="M280" s="56">
        <f>$J$280-EFEITO!$K$280*EFEITO!$Y$280</f>
        <v>0</v>
      </c>
      <c r="N280" s="56">
        <f ca="1">$K$280-EFEITO!$M$280*EFEITO!$Z$280</f>
        <v>0</v>
      </c>
      <c r="O280" s="56">
        <f>$L$280-EFEITO!$O$280*EFEITO!$AA$280</f>
        <v>222.36426754666627</v>
      </c>
      <c r="P280" s="39"/>
      <c r="Q280" s="39"/>
      <c r="R280" s="39"/>
      <c r="S280" s="39"/>
      <c r="T280" s="39"/>
      <c r="U280" s="39"/>
      <c r="V280" s="39"/>
      <c r="W280" s="3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35" t="s">
        <v>21</v>
      </c>
      <c r="B281" s="35" t="s">
        <v>36</v>
      </c>
      <c r="C281" s="35" t="s">
        <v>23</v>
      </c>
      <c r="D281" s="35" t="s">
        <v>47</v>
      </c>
      <c r="E281" s="35" t="s">
        <v>48</v>
      </c>
      <c r="F281" s="35" t="s">
        <v>25</v>
      </c>
      <c r="G281" s="35" t="s">
        <v>25</v>
      </c>
      <c r="H281" s="35" t="s">
        <v>25</v>
      </c>
      <c r="I281" s="55">
        <v>44562</v>
      </c>
      <c r="J281" s="56">
        <f>EFEITO!$J$281*EFEITO!$Y$276</f>
        <v>0</v>
      </c>
      <c r="K281" s="56">
        <f ca="1">EFEITO!$L$281*EFEITO!$Z$276</f>
        <v>18424.60570161758</v>
      </c>
      <c r="L281" s="56">
        <f>EFEITO!$N$281*EFEITO!$AA$276</f>
        <v>10220.803861640816</v>
      </c>
      <c r="M281" s="56">
        <f>$J$281-EFEITO!$K$281*EFEITO!$Y$281</f>
        <v>0</v>
      </c>
      <c r="N281" s="56">
        <f ca="1">$K$281-EFEITO!$M$281*EFEITO!$Z$281</f>
        <v>0</v>
      </c>
      <c r="O281" s="56">
        <f>$L$281-EFEITO!$O$281*EFEITO!$AA$281</f>
        <v>306.62411584922665</v>
      </c>
      <c r="P281" s="39"/>
      <c r="Q281" s="39"/>
      <c r="R281" s="39"/>
      <c r="S281" s="39"/>
      <c r="T281" s="39"/>
      <c r="U281" s="39"/>
      <c r="V281" s="39"/>
      <c r="W281" s="3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35" t="s">
        <v>21</v>
      </c>
      <c r="B282" s="35" t="s">
        <v>36</v>
      </c>
      <c r="C282" s="35" t="s">
        <v>23</v>
      </c>
      <c r="D282" s="35" t="s">
        <v>47</v>
      </c>
      <c r="E282" s="35" t="s">
        <v>48</v>
      </c>
      <c r="F282" s="35" t="s">
        <v>25</v>
      </c>
      <c r="G282" s="35" t="s">
        <v>25</v>
      </c>
      <c r="H282" s="35" t="s">
        <v>25</v>
      </c>
      <c r="I282" s="55">
        <v>44593</v>
      </c>
      <c r="J282" s="56">
        <f>EFEITO!$J$282*EFEITO!$Y$276</f>
        <v>0</v>
      </c>
      <c r="K282" s="56">
        <f ca="1">EFEITO!$L$282*EFEITO!$Z$276</f>
        <v>14657.767228879982</v>
      </c>
      <c r="L282" s="56">
        <f>EFEITO!$N$282*EFEITO!$AA$276</f>
        <v>8131.2005435652736</v>
      </c>
      <c r="M282" s="56">
        <f>$J$282-EFEITO!$K$282*EFEITO!$Y$282</f>
        <v>0</v>
      </c>
      <c r="N282" s="56">
        <f ca="1">$K$282-EFEITO!$M$282*EFEITO!$Z$282</f>
        <v>0</v>
      </c>
      <c r="O282" s="56">
        <f>$L$282-EFEITO!$O$282*EFEITO!$AA$282</f>
        <v>243.93601630695866</v>
      </c>
      <c r="P282" s="39"/>
      <c r="Q282" s="39"/>
      <c r="R282" s="39"/>
      <c r="S282" s="39"/>
      <c r="T282" s="39"/>
      <c r="U282" s="39"/>
      <c r="V282" s="39"/>
      <c r="W282" s="3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35" t="s">
        <v>21</v>
      </c>
      <c r="B283" s="35" t="s">
        <v>36</v>
      </c>
      <c r="C283" s="35" t="s">
        <v>23</v>
      </c>
      <c r="D283" s="35" t="s">
        <v>47</v>
      </c>
      <c r="E283" s="35" t="s">
        <v>48</v>
      </c>
      <c r="F283" s="35" t="s">
        <v>25</v>
      </c>
      <c r="G283" s="35" t="s">
        <v>25</v>
      </c>
      <c r="H283" s="35" t="s">
        <v>25</v>
      </c>
      <c r="I283" s="55">
        <v>44621</v>
      </c>
      <c r="J283" s="56">
        <f>EFEITO!$J$283*EFEITO!$Y$276</f>
        <v>0</v>
      </c>
      <c r="K283" s="56">
        <f ca="1">EFEITO!$L$283*EFEITO!$Z$276</f>
        <v>11825.116344395396</v>
      </c>
      <c r="L283" s="56">
        <f>EFEITO!$N$283*EFEITO!$AA$276</f>
        <v>6559.8253093979283</v>
      </c>
      <c r="M283" s="56">
        <f>$J$283-EFEITO!$K$283*EFEITO!$Y$283</f>
        <v>0</v>
      </c>
      <c r="N283" s="56">
        <f ca="1">$K$283-EFEITO!$M$283*EFEITO!$Z$283</f>
        <v>0</v>
      </c>
      <c r="O283" s="56">
        <f>$L$283-EFEITO!$O$283*EFEITO!$AA$283</f>
        <v>196.79475928193824</v>
      </c>
      <c r="P283" s="39"/>
      <c r="Q283" s="39"/>
      <c r="R283" s="39"/>
      <c r="S283" s="39"/>
      <c r="T283" s="39"/>
      <c r="U283" s="39"/>
      <c r="V283" s="39"/>
      <c r="W283" s="3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35" t="s">
        <v>21</v>
      </c>
      <c r="B284" s="35" t="s">
        <v>36</v>
      </c>
      <c r="C284" s="35" t="s">
        <v>23</v>
      </c>
      <c r="D284" s="35" t="s">
        <v>47</v>
      </c>
      <c r="E284" s="35" t="s">
        <v>48</v>
      </c>
      <c r="F284" s="35" t="s">
        <v>25</v>
      </c>
      <c r="G284" s="35" t="s">
        <v>25</v>
      </c>
      <c r="H284" s="35" t="s">
        <v>25</v>
      </c>
      <c r="I284" s="55">
        <v>44652</v>
      </c>
      <c r="J284" s="56">
        <f>EFEITO!$J$284*EFEITO!$Y$276</f>
        <v>0</v>
      </c>
      <c r="K284" s="56">
        <f ca="1">EFEITO!$L$284*EFEITO!$Z$276</f>
        <v>20270.657434456258</v>
      </c>
      <c r="L284" s="56">
        <f>EFEITO!$N$284*EFEITO!$AA$276</f>
        <v>11244.876397322259</v>
      </c>
      <c r="M284" s="56">
        <f>$J$284-EFEITO!$K$284*EFEITO!$Y$284</f>
        <v>0</v>
      </c>
      <c r="N284" s="56">
        <f ca="1">$K$284-EFEITO!$M$284*EFEITO!$Z$284</f>
        <v>0</v>
      </c>
      <c r="O284" s="56">
        <f>$L$284-EFEITO!$O$284*EFEITO!$AA$284</f>
        <v>337.34629191966997</v>
      </c>
      <c r="P284" s="39"/>
      <c r="Q284" s="39"/>
      <c r="R284" s="39"/>
      <c r="S284" s="39"/>
      <c r="T284" s="39"/>
      <c r="U284" s="39"/>
      <c r="V284" s="39"/>
      <c r="W284" s="3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35" t="s">
        <v>21</v>
      </c>
      <c r="B285" s="35" t="s">
        <v>36</v>
      </c>
      <c r="C285" s="35" t="s">
        <v>23</v>
      </c>
      <c r="D285" s="35" t="s">
        <v>47</v>
      </c>
      <c r="E285" s="35" t="s">
        <v>48</v>
      </c>
      <c r="F285" s="35" t="s">
        <v>25</v>
      </c>
      <c r="G285" s="35" t="s">
        <v>25</v>
      </c>
      <c r="H285" s="35" t="s">
        <v>25</v>
      </c>
      <c r="I285" s="55">
        <v>44682</v>
      </c>
      <c r="J285" s="56">
        <f>EFEITO!$J$285*EFEITO!$Y$276</f>
        <v>0</v>
      </c>
      <c r="K285" s="56">
        <f ca="1">EFEITO!$L$285*EFEITO!$Z$276</f>
        <v>18321.238451592701</v>
      </c>
      <c r="L285" s="56">
        <f>EFEITO!$N$285*EFEITO!$AA$276</f>
        <v>10163.462260668115</v>
      </c>
      <c r="M285" s="56">
        <f>$J$285-EFEITO!$K$285*EFEITO!$Y$285</f>
        <v>0</v>
      </c>
      <c r="N285" s="56">
        <f ca="1">$K$285-EFEITO!$M$285*EFEITO!$Z$285</f>
        <v>0</v>
      </c>
      <c r="O285" s="56">
        <f>$L$285-EFEITO!$O$285*EFEITO!$AA$285</f>
        <v>304.90386782004316</v>
      </c>
      <c r="P285" s="39"/>
      <c r="Q285" s="39"/>
      <c r="R285" s="39"/>
      <c r="S285" s="39"/>
      <c r="T285" s="39"/>
      <c r="U285" s="39"/>
      <c r="V285" s="39"/>
      <c r="W285" s="3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35" t="s">
        <v>21</v>
      </c>
      <c r="B286" s="35" t="s">
        <v>36</v>
      </c>
      <c r="C286" s="35" t="s">
        <v>23</v>
      </c>
      <c r="D286" s="35" t="s">
        <v>47</v>
      </c>
      <c r="E286" s="35" t="s">
        <v>48</v>
      </c>
      <c r="F286" s="35" t="s">
        <v>25</v>
      </c>
      <c r="G286" s="35" t="s">
        <v>25</v>
      </c>
      <c r="H286" s="35" t="s">
        <v>25</v>
      </c>
      <c r="I286" s="55">
        <v>44713</v>
      </c>
      <c r="J286" s="56">
        <f>EFEITO!$J$286*EFEITO!$Y$276</f>
        <v>0</v>
      </c>
      <c r="K286" s="56">
        <f ca="1">EFEITO!$L$286*EFEITO!$Z$276</f>
        <v>10147.946315822715</v>
      </c>
      <c r="L286" s="56">
        <f>EFEITO!$N$286*EFEITO!$AA$276</f>
        <v>5629.4376429113181</v>
      </c>
      <c r="M286" s="56">
        <f>$J$286-EFEITO!$K$286*EFEITO!$Y$286</f>
        <v>0</v>
      </c>
      <c r="N286" s="56">
        <f ca="1">$K$286-EFEITO!$M$286*EFEITO!$Z$286</f>
        <v>0</v>
      </c>
      <c r="O286" s="56">
        <f>$L$286-EFEITO!$O$286*EFEITO!$AA$286</f>
        <v>168.88312928734013</v>
      </c>
      <c r="P286" s="39"/>
      <c r="Q286" s="39"/>
      <c r="R286" s="39"/>
      <c r="S286" s="39"/>
      <c r="T286" s="39"/>
      <c r="U286" s="39"/>
      <c r="V286" s="39"/>
      <c r="W286" s="3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35" t="s">
        <v>21</v>
      </c>
      <c r="B287" s="35" t="s">
        <v>36</v>
      </c>
      <c r="C287" s="35" t="s">
        <v>23</v>
      </c>
      <c r="D287" s="35" t="s">
        <v>47</v>
      </c>
      <c r="E287" s="35" t="s">
        <v>48</v>
      </c>
      <c r="F287" s="35" t="s">
        <v>25</v>
      </c>
      <c r="G287" s="35" t="s">
        <v>25</v>
      </c>
      <c r="H287" s="35" t="s">
        <v>25</v>
      </c>
      <c r="I287" s="55">
        <v>44743</v>
      </c>
      <c r="J287" s="56">
        <f>EFEITO!$J$287*EFEITO!$Y$276</f>
        <v>0</v>
      </c>
      <c r="K287" s="56">
        <f ca="1">EFEITO!$L$287*EFEITO!$Z$276</f>
        <v>14067.166556202621</v>
      </c>
      <c r="L287" s="56">
        <f>EFEITO!$N$287*EFEITO!$AA$276</f>
        <v>7803.5727107775983</v>
      </c>
      <c r="M287" s="56">
        <f>$J$287-EFEITO!$K$287*EFEITO!$Y$287</f>
        <v>0</v>
      </c>
      <c r="N287" s="56">
        <f ca="1">$K$287-EFEITO!$M$287*EFEITO!$Z$287</f>
        <v>0</v>
      </c>
      <c r="O287" s="56">
        <f>$L$287-EFEITO!$O$287*EFEITO!$AA$287</f>
        <v>234.10718132332931</v>
      </c>
      <c r="P287" s="39"/>
      <c r="Q287" s="39"/>
      <c r="R287" s="39"/>
      <c r="S287" s="39"/>
      <c r="T287" s="39"/>
      <c r="U287" s="39"/>
      <c r="V287" s="39"/>
      <c r="W287" s="3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35" t="s">
        <v>21</v>
      </c>
      <c r="B288" s="35" t="s">
        <v>36</v>
      </c>
      <c r="C288" s="35" t="s">
        <v>23</v>
      </c>
      <c r="D288" s="35" t="s">
        <v>47</v>
      </c>
      <c r="E288" s="35" t="s">
        <v>48</v>
      </c>
      <c r="F288" s="35" t="s">
        <v>25</v>
      </c>
      <c r="G288" s="35" t="s">
        <v>25</v>
      </c>
      <c r="H288" s="35" t="s">
        <v>25</v>
      </c>
      <c r="I288" s="55">
        <v>44774</v>
      </c>
      <c r="J288" s="56">
        <f>EFEITO!$J$288*EFEITO!$Y$276</f>
        <v>0</v>
      </c>
      <c r="K288" s="56">
        <f ca="1">EFEITO!$L$288*EFEITO!$Z$276</f>
        <v>14205.474848489432</v>
      </c>
      <c r="L288" s="56">
        <f>EFEITO!$N$288*EFEITO!$AA$276</f>
        <v>7880.2973881354346</v>
      </c>
      <c r="M288" s="56">
        <f>$J$288-EFEITO!$K$288*EFEITO!$Y$288</f>
        <v>0</v>
      </c>
      <c r="N288" s="56">
        <f ca="1">$K$288-EFEITO!$M$288*EFEITO!$Z$288</f>
        <v>0</v>
      </c>
      <c r="O288" s="56">
        <f>$L$288-EFEITO!$O$288*EFEITO!$AA$288</f>
        <v>236.40892164406341</v>
      </c>
      <c r="P288" s="39"/>
      <c r="Q288" s="39"/>
      <c r="R288" s="39"/>
      <c r="S288" s="39"/>
      <c r="T288" s="39"/>
      <c r="U288" s="39"/>
      <c r="V288" s="39"/>
      <c r="W288" s="3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35" t="s">
        <v>21</v>
      </c>
      <c r="B289" s="35" t="s">
        <v>44</v>
      </c>
      <c r="C289" s="35" t="s">
        <v>23</v>
      </c>
      <c r="D289" s="35" t="s">
        <v>45</v>
      </c>
      <c r="E289" s="35" t="s">
        <v>46</v>
      </c>
      <c r="F289" s="35" t="s">
        <v>25</v>
      </c>
      <c r="G289" s="35" t="s">
        <v>25</v>
      </c>
      <c r="H289" s="35" t="s">
        <v>25</v>
      </c>
      <c r="I289" s="55">
        <v>44440</v>
      </c>
      <c r="J289" s="56">
        <f>EFEITO!$J$289*EFEITO!$Y$289</f>
        <v>0</v>
      </c>
      <c r="K289" s="56">
        <f ca="1">EFEITO!$L$289*EFEITO!$Z$289</f>
        <v>11531.878500134677</v>
      </c>
      <c r="L289" s="56">
        <f>EFEITO!$N$289*EFEITO!$AA$289</f>
        <v>6397.1555329296025</v>
      </c>
      <c r="M289" s="56">
        <f>$J$289-EFEITO!$K$289*EFEITO!$Y$289</f>
        <v>0</v>
      </c>
      <c r="N289" s="56">
        <f ca="1">$K$289-EFEITO!$M$289*EFEITO!$Z$289</f>
        <v>0</v>
      </c>
      <c r="O289" s="56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35" t="s">
        <v>21</v>
      </c>
      <c r="B290" s="35" t="s">
        <v>44</v>
      </c>
      <c r="C290" s="35" t="s">
        <v>23</v>
      </c>
      <c r="D290" s="35" t="s">
        <v>45</v>
      </c>
      <c r="E290" s="35" t="s">
        <v>46</v>
      </c>
      <c r="F290" s="35" t="s">
        <v>25</v>
      </c>
      <c r="G290" s="35" t="s">
        <v>25</v>
      </c>
      <c r="H290" s="35" t="s">
        <v>25</v>
      </c>
      <c r="I290" s="55">
        <v>44470</v>
      </c>
      <c r="J290" s="56">
        <f>EFEITO!$J$290*EFEITO!$Y$290</f>
        <v>0</v>
      </c>
      <c r="K290" s="56">
        <f ca="1">EFEITO!$L$290*EFEITO!$Z$290</f>
        <v>11916.763786494917</v>
      </c>
      <c r="L290" s="56">
        <f>EFEITO!$N$290*EFEITO!$AA$290</f>
        <v>6610.6655034997784</v>
      </c>
      <c r="M290" s="56">
        <f>$J$290-EFEITO!$K$290*EFEITO!$Y$290</f>
        <v>0</v>
      </c>
      <c r="N290" s="56">
        <f ca="1">$K$290-EFEITO!$M$290*EFEITO!$Z$290</f>
        <v>0</v>
      </c>
      <c r="O290" s="56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35" t="s">
        <v>21</v>
      </c>
      <c r="B291" s="35" t="s">
        <v>44</v>
      </c>
      <c r="C291" s="35" t="s">
        <v>23</v>
      </c>
      <c r="D291" s="35" t="s">
        <v>45</v>
      </c>
      <c r="E291" s="35" t="s">
        <v>46</v>
      </c>
      <c r="F291" s="35" t="s">
        <v>25</v>
      </c>
      <c r="G291" s="35" t="s">
        <v>25</v>
      </c>
      <c r="H291" s="35" t="s">
        <v>25</v>
      </c>
      <c r="I291" s="55">
        <v>44501</v>
      </c>
      <c r="J291" s="56">
        <f>EFEITO!$J$291*EFEITO!$Y$291</f>
        <v>0</v>
      </c>
      <c r="K291" s="56">
        <f ca="1">EFEITO!$L$291*EFEITO!$Z$291</f>
        <v>12130.559288835108</v>
      </c>
      <c r="L291" s="56">
        <f>EFEITO!$N$291*EFEITO!$AA$291</f>
        <v>6729.2657021313407</v>
      </c>
      <c r="M291" s="56">
        <f>$J$291-EFEITO!$K$291*EFEITO!$Y$291</f>
        <v>0</v>
      </c>
      <c r="N291" s="56">
        <f ca="1">$K$291-EFEITO!$M$291*EFEITO!$Z$291</f>
        <v>0</v>
      </c>
      <c r="O291" s="56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35" t="s">
        <v>21</v>
      </c>
      <c r="B292" s="35" t="s">
        <v>44</v>
      </c>
      <c r="C292" s="35" t="s">
        <v>23</v>
      </c>
      <c r="D292" s="35" t="s">
        <v>45</v>
      </c>
      <c r="E292" s="35" t="s">
        <v>46</v>
      </c>
      <c r="F292" s="35" t="s">
        <v>25</v>
      </c>
      <c r="G292" s="35" t="s">
        <v>25</v>
      </c>
      <c r="H292" s="35" t="s">
        <v>25</v>
      </c>
      <c r="I292" s="55">
        <v>44531</v>
      </c>
      <c r="J292" s="56">
        <f>EFEITO!$J$292*EFEITO!$Y$292</f>
        <v>0</v>
      </c>
      <c r="K292" s="56">
        <f ca="1">EFEITO!$L$292*EFEITO!$Z$292</f>
        <v>12535.195969918412</v>
      </c>
      <c r="L292" s="56">
        <f>EFEITO!$N$292*EFEITO!$AA$292</f>
        <v>6953.7324950470047</v>
      </c>
      <c r="M292" s="56">
        <f>$J$292-EFEITO!$K$292*EFEITO!$Y$292</f>
        <v>0</v>
      </c>
      <c r="N292" s="56">
        <f ca="1">$K$292-EFEITO!$M$292*EFEITO!$Z$292</f>
        <v>0</v>
      </c>
      <c r="O292" s="56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35" t="s">
        <v>21</v>
      </c>
      <c r="B293" s="35" t="s">
        <v>44</v>
      </c>
      <c r="C293" s="35" t="s">
        <v>23</v>
      </c>
      <c r="D293" s="35" t="s">
        <v>45</v>
      </c>
      <c r="E293" s="35" t="s">
        <v>46</v>
      </c>
      <c r="F293" s="35" t="s">
        <v>25</v>
      </c>
      <c r="G293" s="35" t="s">
        <v>25</v>
      </c>
      <c r="H293" s="35" t="s">
        <v>25</v>
      </c>
      <c r="I293" s="55">
        <v>44562</v>
      </c>
      <c r="J293" s="56">
        <f>EFEITO!$J$293*EFEITO!$Y$293</f>
        <v>0</v>
      </c>
      <c r="K293" s="56">
        <f ca="1">EFEITO!$L$293*EFEITO!$Z$293</f>
        <v>12535.195969918412</v>
      </c>
      <c r="L293" s="56">
        <f>EFEITO!$N$293*EFEITO!$AA$293</f>
        <v>6953.7324950470047</v>
      </c>
      <c r="M293" s="56">
        <f>$J$293-EFEITO!$K$293*EFEITO!$Y$293</f>
        <v>0</v>
      </c>
      <c r="N293" s="56">
        <f ca="1">$K$293-EFEITO!$M$293*EFEITO!$Z$293</f>
        <v>0</v>
      </c>
      <c r="O293" s="56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35" t="s">
        <v>21</v>
      </c>
      <c r="B294" s="35" t="s">
        <v>44</v>
      </c>
      <c r="C294" s="35" t="s">
        <v>23</v>
      </c>
      <c r="D294" s="35" t="s">
        <v>45</v>
      </c>
      <c r="E294" s="35" t="s">
        <v>46</v>
      </c>
      <c r="F294" s="35" t="s">
        <v>25</v>
      </c>
      <c r="G294" s="35" t="s">
        <v>25</v>
      </c>
      <c r="H294" s="35" t="s">
        <v>25</v>
      </c>
      <c r="I294" s="55">
        <v>44593</v>
      </c>
      <c r="J294" s="56">
        <f>EFEITO!$J$294*EFEITO!$Y$294</f>
        <v>0</v>
      </c>
      <c r="K294" s="56">
        <f ca="1">EFEITO!$L$294*EFEITO!$Z$294</f>
        <v>11615.421561598447</v>
      </c>
      <c r="L294" s="56">
        <f>EFEITO!$N$294*EFEITO!$AA$294</f>
        <v>6443.4999301476782</v>
      </c>
      <c r="M294" s="56">
        <f>$J$294-EFEITO!$K$294*EFEITO!$Y$294</f>
        <v>0</v>
      </c>
      <c r="N294" s="56">
        <f ca="1">$K$294-EFEITO!$M$294*EFEITO!$Z$294</f>
        <v>0</v>
      </c>
      <c r="O294" s="56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35" t="s">
        <v>21</v>
      </c>
      <c r="B295" s="35" t="s">
        <v>44</v>
      </c>
      <c r="C295" s="35" t="s">
        <v>23</v>
      </c>
      <c r="D295" s="35" t="s">
        <v>45</v>
      </c>
      <c r="E295" s="35" t="s">
        <v>46</v>
      </c>
      <c r="F295" s="35" t="s">
        <v>25</v>
      </c>
      <c r="G295" s="35" t="s">
        <v>25</v>
      </c>
      <c r="H295" s="35" t="s">
        <v>25</v>
      </c>
      <c r="I295" s="55">
        <v>44621</v>
      </c>
      <c r="J295" s="56">
        <f>EFEITO!$J$295*EFEITO!$Y$295</f>
        <v>0</v>
      </c>
      <c r="K295" s="56">
        <f ca="1">EFEITO!$L$295*EFEITO!$Z$295</f>
        <v>12535.195969918412</v>
      </c>
      <c r="L295" s="56">
        <f>EFEITO!$N$295*EFEITO!$AA$295</f>
        <v>6953.7324950470047</v>
      </c>
      <c r="M295" s="56">
        <f>$J$295-EFEITO!$K$295*EFEITO!$Y$295</f>
        <v>0</v>
      </c>
      <c r="N295" s="56">
        <f ca="1">$K$295-EFEITO!$M$295*EFEITO!$Z$295</f>
        <v>0</v>
      </c>
      <c r="O295" s="56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35" t="s">
        <v>21</v>
      </c>
      <c r="B296" s="35" t="s">
        <v>44</v>
      </c>
      <c r="C296" s="35" t="s">
        <v>23</v>
      </c>
      <c r="D296" s="35" t="s">
        <v>45</v>
      </c>
      <c r="E296" s="35" t="s">
        <v>46</v>
      </c>
      <c r="F296" s="35" t="s">
        <v>25</v>
      </c>
      <c r="G296" s="35" t="s">
        <v>25</v>
      </c>
      <c r="H296" s="35" t="s">
        <v>25</v>
      </c>
      <c r="I296" s="55">
        <v>44652</v>
      </c>
      <c r="J296" s="56">
        <f>EFEITO!$J$296*EFEITO!$Y$296</f>
        <v>0</v>
      </c>
      <c r="K296" s="56">
        <f ca="1">EFEITO!$L$296*EFEITO!$Z$296</f>
        <v>11390.682718938722</v>
      </c>
      <c r="L296" s="56">
        <f>EFEITO!$N$296*EFEITO!$AA$296</f>
        <v>6318.8290596760498</v>
      </c>
      <c r="M296" s="56">
        <f>$J$296-EFEITO!$K$296*EFEITO!$Y$296</f>
        <v>0</v>
      </c>
      <c r="N296" s="56">
        <f ca="1">$K$296-EFEITO!$M$296*EFEITO!$Z$296</f>
        <v>0</v>
      </c>
      <c r="O296" s="56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35" t="s">
        <v>21</v>
      </c>
      <c r="B297" s="35" t="s">
        <v>44</v>
      </c>
      <c r="C297" s="35" t="s">
        <v>23</v>
      </c>
      <c r="D297" s="35" t="s">
        <v>45</v>
      </c>
      <c r="E297" s="35" t="s">
        <v>46</v>
      </c>
      <c r="F297" s="35" t="s">
        <v>25</v>
      </c>
      <c r="G297" s="35" t="s">
        <v>25</v>
      </c>
      <c r="H297" s="35" t="s">
        <v>25</v>
      </c>
      <c r="I297" s="55">
        <v>44682</v>
      </c>
      <c r="J297" s="56">
        <f>EFEITO!$J$297*EFEITO!$Y$297</f>
        <v>0</v>
      </c>
      <c r="K297" s="56">
        <f ca="1">EFEITO!$L$297*EFEITO!$Z$297</f>
        <v>12535.195969918412</v>
      </c>
      <c r="L297" s="56">
        <f>EFEITO!$N$297*EFEITO!$AA$297</f>
        <v>6953.7324950470047</v>
      </c>
      <c r="M297" s="56">
        <f>$J$297-EFEITO!$K$297*EFEITO!$Y$297</f>
        <v>0</v>
      </c>
      <c r="N297" s="56">
        <f ca="1">$K$297-EFEITO!$M$297*EFEITO!$Z$297</f>
        <v>0</v>
      </c>
      <c r="O297" s="56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35" t="s">
        <v>21</v>
      </c>
      <c r="B298" s="35" t="s">
        <v>44</v>
      </c>
      <c r="C298" s="35" t="s">
        <v>23</v>
      </c>
      <c r="D298" s="35" t="s">
        <v>45</v>
      </c>
      <c r="E298" s="35" t="s">
        <v>46</v>
      </c>
      <c r="F298" s="35" t="s">
        <v>25</v>
      </c>
      <c r="G298" s="35" t="s">
        <v>25</v>
      </c>
      <c r="H298" s="35" t="s">
        <v>25</v>
      </c>
      <c r="I298" s="55">
        <v>44713</v>
      </c>
      <c r="J298" s="56">
        <f>EFEITO!$J$298*EFEITO!$Y$298</f>
        <v>0</v>
      </c>
      <c r="K298" s="56">
        <f ca="1">EFEITO!$L$298*EFEITO!$Z$298</f>
        <v>12130.559288835108</v>
      </c>
      <c r="L298" s="56">
        <f>EFEITO!$N$298*EFEITO!$AA$298</f>
        <v>6729.2657021313407</v>
      </c>
      <c r="M298" s="56">
        <f>$J$298-EFEITO!$K$298*EFEITO!$Y$298</f>
        <v>0</v>
      </c>
      <c r="N298" s="56">
        <f ca="1">$K$298-EFEITO!$M$298*EFEITO!$Z$298</f>
        <v>0</v>
      </c>
      <c r="O298" s="56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35" t="s">
        <v>21</v>
      </c>
      <c r="B299" s="35" t="s">
        <v>44</v>
      </c>
      <c r="C299" s="35" t="s">
        <v>23</v>
      </c>
      <c r="D299" s="35" t="s">
        <v>45</v>
      </c>
      <c r="E299" s="35" t="s">
        <v>46</v>
      </c>
      <c r="F299" s="35" t="s">
        <v>25</v>
      </c>
      <c r="G299" s="35" t="s">
        <v>25</v>
      </c>
      <c r="H299" s="35" t="s">
        <v>25</v>
      </c>
      <c r="I299" s="55">
        <v>44743</v>
      </c>
      <c r="J299" s="56">
        <f>EFEITO!$J$299*EFEITO!$Y$299</f>
        <v>0</v>
      </c>
      <c r="K299" s="56">
        <f ca="1">EFEITO!$L$299*EFEITO!$Z$299</f>
        <v>12535.195969918412</v>
      </c>
      <c r="L299" s="56">
        <f>EFEITO!$N$299*EFEITO!$AA$299</f>
        <v>6953.7324950470047</v>
      </c>
      <c r="M299" s="56">
        <f>$J$299-EFEITO!$K$299*EFEITO!$Y$299</f>
        <v>0</v>
      </c>
      <c r="N299" s="56">
        <f ca="1">$K$299-EFEITO!$M$299*EFEITO!$Z$299</f>
        <v>0</v>
      </c>
      <c r="O299" s="56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35" t="s">
        <v>21</v>
      </c>
      <c r="B300" s="35" t="s">
        <v>44</v>
      </c>
      <c r="C300" s="35" t="s">
        <v>23</v>
      </c>
      <c r="D300" s="35" t="s">
        <v>45</v>
      </c>
      <c r="E300" s="35" t="s">
        <v>46</v>
      </c>
      <c r="F300" s="35" t="s">
        <v>25</v>
      </c>
      <c r="G300" s="35" t="s">
        <v>25</v>
      </c>
      <c r="H300" s="35" t="s">
        <v>25</v>
      </c>
      <c r="I300" s="55">
        <v>44774</v>
      </c>
      <c r="J300" s="56">
        <f>EFEITO!$J$300*EFEITO!$Y$300</f>
        <v>0</v>
      </c>
      <c r="K300" s="56">
        <f ca="1">EFEITO!$L$300*EFEITO!$Z$300</f>
        <v>12535.195969918412</v>
      </c>
      <c r="L300" s="56">
        <f>EFEITO!$N$300*EFEITO!$AA$300</f>
        <v>6953.7324950470047</v>
      </c>
      <c r="M300" s="56">
        <f>$J$300-EFEITO!$K$300*EFEITO!$Y$300</f>
        <v>0</v>
      </c>
      <c r="N300" s="56">
        <f ca="1">$K$300-EFEITO!$M$300*EFEITO!$Z$300</f>
        <v>0</v>
      </c>
      <c r="O300" s="56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C71A-3CA2-463C-98A5-F9CA66B42F3C}">
  <dimension ref="A1:BD103"/>
  <sheetViews>
    <sheetView showGridLines="0" topLeftCell="E41" workbookViewId="0">
      <selection activeCell="L53" sqref="L53:BD103"/>
    </sheetView>
  </sheetViews>
  <sheetFormatPr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2" width="9.21875" style="9" bestFit="1" customWidth="1"/>
    <col min="23" max="23" width="9.33203125" style="9" bestFit="1" customWidth="1"/>
    <col min="24" max="24" width="9.1093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7773437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77734375" style="9" bestFit="1" customWidth="1"/>
    <col min="38" max="38" width="3.88671875" style="9" bestFit="1" customWidth="1"/>
    <col min="39" max="39" width="3.77734375" style="9" bestFit="1" customWidth="1"/>
    <col min="40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5" width="9.21875" style="9" bestFit="1" customWidth="1"/>
    <col min="46" max="46" width="9.33203125" style="9" bestFit="1" customWidth="1"/>
    <col min="47" max="47" width="9.1093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7773437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97" t="s">
        <v>58</v>
      </c>
      <c r="B1" s="97" t="s">
        <v>59</v>
      </c>
      <c r="C1" s="97" t="s">
        <v>60</v>
      </c>
      <c r="D1" s="97" t="s">
        <v>61</v>
      </c>
      <c r="E1" s="97" t="s">
        <v>62</v>
      </c>
      <c r="F1" s="97" t="s">
        <v>15</v>
      </c>
      <c r="G1" s="97" t="s">
        <v>64</v>
      </c>
      <c r="H1" s="97" t="s">
        <v>65</v>
      </c>
      <c r="I1" s="97" t="s">
        <v>496</v>
      </c>
      <c r="J1" s="94"/>
      <c r="L1" s="98" t="s">
        <v>697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I1" s="98" t="s">
        <v>698</v>
      </c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</row>
    <row r="2" spans="1:56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94"/>
      <c r="L2" s="98" t="s">
        <v>395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I2" s="98" t="s">
        <v>395</v>
      </c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</row>
    <row r="3" spans="1:56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94"/>
      <c r="L3" s="98" t="s">
        <v>396</v>
      </c>
      <c r="M3" s="98"/>
      <c r="N3" s="98"/>
      <c r="O3" s="98"/>
      <c r="P3" s="98"/>
      <c r="Q3" s="98"/>
      <c r="R3" s="98"/>
      <c r="S3" s="98"/>
      <c r="T3" s="98" t="s">
        <v>405</v>
      </c>
      <c r="U3" s="98"/>
      <c r="V3" s="98"/>
      <c r="W3" s="98"/>
      <c r="X3" s="98"/>
      <c r="Y3" s="98"/>
      <c r="Z3" s="98"/>
      <c r="AA3" s="10" t="s">
        <v>413</v>
      </c>
      <c r="AB3" s="98" t="s">
        <v>415</v>
      </c>
      <c r="AC3" s="98"/>
      <c r="AD3" s="98" t="s">
        <v>418</v>
      </c>
      <c r="AE3" s="98"/>
      <c r="AF3" s="98"/>
      <c r="AG3" s="98"/>
      <c r="AI3" s="98" t="s">
        <v>396</v>
      </c>
      <c r="AJ3" s="98"/>
      <c r="AK3" s="98"/>
      <c r="AL3" s="98"/>
      <c r="AM3" s="98"/>
      <c r="AN3" s="98"/>
      <c r="AO3" s="98"/>
      <c r="AP3" s="98"/>
      <c r="AQ3" s="98" t="s">
        <v>405</v>
      </c>
      <c r="AR3" s="98"/>
      <c r="AS3" s="98"/>
      <c r="AT3" s="98"/>
      <c r="AU3" s="98"/>
      <c r="AV3" s="98"/>
      <c r="AW3" s="98"/>
      <c r="AX3" s="10" t="s">
        <v>413</v>
      </c>
      <c r="AY3" s="98" t="s">
        <v>415</v>
      </c>
      <c r="AZ3" s="98"/>
      <c r="BA3" s="98" t="s">
        <v>418</v>
      </c>
      <c r="BB3" s="98"/>
      <c r="BC3" s="98"/>
      <c r="BD3" s="98"/>
    </row>
    <row r="4" spans="1:56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94"/>
      <c r="L4" s="10" t="s">
        <v>481</v>
      </c>
      <c r="M4" s="10" t="s">
        <v>397</v>
      </c>
      <c r="N4" s="10" t="s">
        <v>398</v>
      </c>
      <c r="O4" s="10" t="s">
        <v>399</v>
      </c>
      <c r="P4" s="10" t="s">
        <v>400</v>
      </c>
      <c r="Q4" s="10" t="s">
        <v>401</v>
      </c>
      <c r="R4" s="10" t="s">
        <v>402</v>
      </c>
      <c r="S4" s="10" t="s">
        <v>403</v>
      </c>
      <c r="T4" s="10" t="s">
        <v>406</v>
      </c>
      <c r="U4" s="10" t="s">
        <v>407</v>
      </c>
      <c r="V4" s="10" t="s">
        <v>408</v>
      </c>
      <c r="W4" s="10" t="s">
        <v>409</v>
      </c>
      <c r="X4" s="10" t="s">
        <v>410</v>
      </c>
      <c r="Y4" s="10" t="s">
        <v>411</v>
      </c>
      <c r="Z4" s="10" t="s">
        <v>412</v>
      </c>
      <c r="AA4" s="10" t="s">
        <v>414</v>
      </c>
      <c r="AB4" s="10" t="s">
        <v>416</v>
      </c>
      <c r="AC4" s="10" t="s">
        <v>417</v>
      </c>
      <c r="AD4" s="10" t="s">
        <v>419</v>
      </c>
      <c r="AE4" s="10" t="s">
        <v>420</v>
      </c>
      <c r="AF4" s="10" t="s">
        <v>421</v>
      </c>
      <c r="AG4" s="10" t="s">
        <v>422</v>
      </c>
      <c r="AI4" s="10" t="s">
        <v>481</v>
      </c>
      <c r="AJ4" s="10" t="s">
        <v>397</v>
      </c>
      <c r="AK4" s="10" t="s">
        <v>398</v>
      </c>
      <c r="AL4" s="10" t="s">
        <v>399</v>
      </c>
      <c r="AM4" s="10" t="s">
        <v>400</v>
      </c>
      <c r="AN4" s="10" t="s">
        <v>401</v>
      </c>
      <c r="AO4" s="10" t="s">
        <v>402</v>
      </c>
      <c r="AP4" s="10" t="s">
        <v>403</v>
      </c>
      <c r="AQ4" s="10" t="s">
        <v>406</v>
      </c>
      <c r="AR4" s="10" t="s">
        <v>407</v>
      </c>
      <c r="AS4" s="10" t="s">
        <v>408</v>
      </c>
      <c r="AT4" s="10" t="s">
        <v>409</v>
      </c>
      <c r="AU4" s="10" t="s">
        <v>410</v>
      </c>
      <c r="AV4" s="10" t="s">
        <v>411</v>
      </c>
      <c r="AW4" s="10" t="s">
        <v>412</v>
      </c>
      <c r="AX4" s="10" t="s">
        <v>414</v>
      </c>
      <c r="AY4" s="10" t="s">
        <v>416</v>
      </c>
      <c r="AZ4" s="10" t="s">
        <v>417</v>
      </c>
      <c r="BA4" s="10" t="s">
        <v>419</v>
      </c>
      <c r="BB4" s="10" t="s">
        <v>420</v>
      </c>
      <c r="BC4" s="10" t="s">
        <v>421</v>
      </c>
      <c r="BD4" s="10" t="s">
        <v>422</v>
      </c>
    </row>
    <row r="5" spans="1:56" ht="11.25" customHeight="1" x14ac:dyDescent="0.3">
      <c r="A5" s="96" t="s">
        <v>38</v>
      </c>
      <c r="B5" s="96" t="s">
        <v>73</v>
      </c>
      <c r="C5" s="96" t="s">
        <v>25</v>
      </c>
      <c r="D5" s="96" t="s">
        <v>25</v>
      </c>
      <c r="E5" s="96" t="s">
        <v>25</v>
      </c>
      <c r="F5" s="96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33.852441038833625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66.343763704430131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28.040983113720301</v>
      </c>
      <c r="AV5" s="13">
        <v>0</v>
      </c>
      <c r="AW5" s="13">
        <v>0</v>
      </c>
      <c r="AX5" s="13">
        <v>67.428418329796997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3">
      <c r="A6" s="96"/>
      <c r="B6" s="96"/>
      <c r="C6" s="96"/>
      <c r="D6" s="96"/>
      <c r="E6" s="96"/>
      <c r="F6" s="96"/>
      <c r="G6" s="18" t="s">
        <v>76</v>
      </c>
      <c r="H6" s="18" t="s">
        <v>74</v>
      </c>
      <c r="I6" s="18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15.423954902031069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16.785619262249654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12.7761202939101</v>
      </c>
      <c r="AV6" s="13">
        <v>0</v>
      </c>
      <c r="AW6" s="13">
        <v>0</v>
      </c>
      <c r="AX6" s="13">
        <v>17.0600474610109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3">
      <c r="A7" s="96"/>
      <c r="B7" s="96"/>
      <c r="C7" s="96"/>
      <c r="D7" s="96"/>
      <c r="E7" s="96"/>
      <c r="F7" s="96"/>
      <c r="G7" s="18" t="s">
        <v>72</v>
      </c>
      <c r="H7" s="18" t="s">
        <v>68</v>
      </c>
      <c r="I7" s="18">
        <f>'MERCADO TUSD'!$U$4</f>
        <v>0</v>
      </c>
      <c r="J7" s="15"/>
      <c r="L7" s="13">
        <f>('TUSD BE'!$L$7+'TUSD BF'!$L$7+'TUSD CVA'!$L$7)*1</f>
        <v>24.327769474712635</v>
      </c>
      <c r="M7" s="13">
        <f>('TUSD BE'!$M$7+'TUSD BF'!$M$7+'TUSD CVA'!$M$7)*1</f>
        <v>1.4748435059753009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75.694597088139119</v>
      </c>
      <c r="R7" s="13">
        <f>('TUSD BE'!$R$7+'TUSD BF'!$R$7+'TUSD CVA'!$R$7)*1</f>
        <v>14.226372618008231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10.858487746163796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24.967461828631802</v>
      </c>
      <c r="AJ7" s="13">
        <v>1.2541063925057201</v>
      </c>
      <c r="AK7" s="13">
        <v>0</v>
      </c>
      <c r="AL7" s="13">
        <v>0</v>
      </c>
      <c r="AM7" s="13">
        <v>0</v>
      </c>
      <c r="AN7" s="13">
        <v>49.275990316403103</v>
      </c>
      <c r="AO7" s="13">
        <v>8.8676059326559695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9.1194533356971093</v>
      </c>
      <c r="BB7" s="13">
        <v>0</v>
      </c>
      <c r="BC7" s="13">
        <v>0</v>
      </c>
      <c r="BD7" s="13">
        <v>0</v>
      </c>
    </row>
    <row r="8" spans="1:56" ht="11.25" customHeight="1" x14ac:dyDescent="0.3">
      <c r="A8" s="96"/>
      <c r="B8" s="96"/>
      <c r="C8" s="96"/>
      <c r="D8" s="96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1.4748435059753009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10.858487746163796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1.2541063925057201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9.1194533356971093</v>
      </c>
      <c r="BB8" s="13">
        <v>0</v>
      </c>
      <c r="BC8" s="13">
        <v>0</v>
      </c>
      <c r="BD8" s="13">
        <v>0</v>
      </c>
    </row>
    <row r="9" spans="1:56" ht="11.25" customHeight="1" x14ac:dyDescent="0.3">
      <c r="A9" s="96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3.0836327116587871E-2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10.311095238221384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2.81165096087534E-2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12.538586819965101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3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18" t="s">
        <v>9</v>
      </c>
      <c r="H10" s="18" t="s">
        <v>74</v>
      </c>
      <c r="I10" s="18">
        <f>'MERCADO TUSD'!$U$7</f>
        <v>35589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15.423954902031069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16.785619262249654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12.7761202939101</v>
      </c>
      <c r="AV10" s="13">
        <v>0</v>
      </c>
      <c r="AW10" s="13">
        <v>0</v>
      </c>
      <c r="AX10" s="13">
        <v>17.0600474610109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3">
      <c r="A11" s="96"/>
      <c r="B11" s="96"/>
      <c r="C11" s="96"/>
      <c r="D11" s="96"/>
      <c r="E11" s="96"/>
      <c r="F11" s="96"/>
      <c r="G11" s="18" t="s">
        <v>69</v>
      </c>
      <c r="H11" s="18" t="s">
        <v>68</v>
      </c>
      <c r="I11" s="18">
        <f>'MERCADO TUSD'!$U$8</f>
        <v>1281.3549999999998</v>
      </c>
      <c r="J11" s="15"/>
      <c r="L11" s="13">
        <f>('TUSD BE'!$L$11+'TUSD BF'!$L$11+'TUSD CVA'!$L$11)*1</f>
        <v>24.327769474712635</v>
      </c>
      <c r="M11" s="13">
        <f>('TUSD BE'!$M$11+'TUSD BF'!$M$11+'TUSD CVA'!$M$11)*1</f>
        <v>1.4748435059753009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75.694597088139119</v>
      </c>
      <c r="R11" s="13">
        <f>('TUSD BE'!$R$11+'TUSD BF'!$R$11+'TUSD CVA'!$R$11)*1</f>
        <v>14.226372618008231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814.11926124534352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1595.5708413643745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10.858487746163796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24.967461828631802</v>
      </c>
      <c r="AJ11" s="13">
        <v>1.2541063925057201</v>
      </c>
      <c r="AK11" s="13">
        <v>0</v>
      </c>
      <c r="AL11" s="13">
        <v>0</v>
      </c>
      <c r="AM11" s="13">
        <v>0</v>
      </c>
      <c r="AN11" s="13">
        <v>49.275990316403103</v>
      </c>
      <c r="AO11" s="13">
        <v>8.8676059326559695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674.35918228015896</v>
      </c>
      <c r="AV11" s="13">
        <v>0</v>
      </c>
      <c r="AW11" s="13">
        <v>0</v>
      </c>
      <c r="AX11" s="13">
        <v>1621.656839453</v>
      </c>
      <c r="AY11" s="13">
        <v>0</v>
      </c>
      <c r="AZ11" s="13">
        <v>0</v>
      </c>
      <c r="BA11" s="13">
        <v>9.1194533356971093</v>
      </c>
      <c r="BB11" s="13">
        <v>0</v>
      </c>
      <c r="BC11" s="13">
        <v>0</v>
      </c>
      <c r="BD11" s="13">
        <v>0</v>
      </c>
    </row>
    <row r="12" spans="1:56" ht="11.25" customHeight="1" x14ac:dyDescent="0.3">
      <c r="A12" s="96"/>
      <c r="B12" s="96"/>
      <c r="C12" s="96"/>
      <c r="D12" s="96"/>
      <c r="E12" s="96"/>
      <c r="F12" s="96"/>
      <c r="G12" s="18" t="s">
        <v>70</v>
      </c>
      <c r="H12" s="18" t="s">
        <v>68</v>
      </c>
      <c r="I12" s="18">
        <f>'MERCADO TUSD'!$U$9</f>
        <v>12598.463</v>
      </c>
      <c r="J12" s="15"/>
      <c r="L12" s="13">
        <f>('TUSD BE'!$L$12+'TUSD BF'!$L$12+'TUSD CVA'!$L$12)*1</f>
        <v>24.327769474712635</v>
      </c>
      <c r="M12" s="13">
        <f>('TUSD BE'!$M$12+'TUSD BF'!$M$12+'TUSD CVA'!$M$12)*1</f>
        <v>1.4748435059753009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75.694597088139119</v>
      </c>
      <c r="R12" s="13">
        <f>('TUSD BE'!$R$12+'TUSD BF'!$R$12+'TUSD CVA'!$R$12)*1</f>
        <v>14.226372618008231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10.858487746163796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24.967461828631802</v>
      </c>
      <c r="AJ12" s="13">
        <v>1.2541063925057201</v>
      </c>
      <c r="AK12" s="13">
        <v>0</v>
      </c>
      <c r="AL12" s="13">
        <v>0</v>
      </c>
      <c r="AM12" s="13">
        <v>0</v>
      </c>
      <c r="AN12" s="13">
        <v>49.275990316403103</v>
      </c>
      <c r="AO12" s="13">
        <v>8.8676059326559695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9.1194533356971093</v>
      </c>
      <c r="BB12" s="13">
        <v>0</v>
      </c>
      <c r="BC12" s="13">
        <v>0</v>
      </c>
      <c r="BD12" s="13">
        <v>0</v>
      </c>
    </row>
    <row r="13" spans="1:56" ht="11.25" customHeight="1" x14ac:dyDescent="0.3">
      <c r="A13" s="96"/>
      <c r="B13" s="96"/>
      <c r="C13" s="96"/>
      <c r="D13" s="96"/>
      <c r="E13" s="96" t="s">
        <v>77</v>
      </c>
      <c r="F13" s="96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1.4748435059753009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814.11926124534352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1595.5708413643745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10.858487746163796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1.2541063925057201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674.35918228015896</v>
      </c>
      <c r="AV13" s="13">
        <v>0</v>
      </c>
      <c r="AW13" s="13">
        <v>0</v>
      </c>
      <c r="AX13" s="13">
        <v>1621.656839453</v>
      </c>
      <c r="AY13" s="13">
        <v>0</v>
      </c>
      <c r="AZ13" s="13">
        <v>0</v>
      </c>
      <c r="BA13" s="13">
        <v>9.1194533356971093</v>
      </c>
      <c r="BB13" s="13">
        <v>0</v>
      </c>
      <c r="BC13" s="13">
        <v>0</v>
      </c>
      <c r="BD13" s="13">
        <v>0</v>
      </c>
    </row>
    <row r="14" spans="1:56" ht="11.25" customHeight="1" x14ac:dyDescent="0.3">
      <c r="A14" s="96"/>
      <c r="B14" s="96"/>
      <c r="C14" s="96"/>
      <c r="D14" s="96"/>
      <c r="E14" s="96"/>
      <c r="F14" s="96"/>
      <c r="G14" s="18" t="s">
        <v>70</v>
      </c>
      <c r="H14" s="18" t="s">
        <v>68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1.4748435059753009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10.858487746163796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1.2541063925057201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9.1194533356971093</v>
      </c>
      <c r="BB14" s="13">
        <v>0</v>
      </c>
      <c r="BC14" s="13">
        <v>0</v>
      </c>
      <c r="BD14" s="13">
        <v>0</v>
      </c>
    </row>
    <row r="15" spans="1:56" ht="11.25" customHeight="1" x14ac:dyDescent="0.3">
      <c r="A15" s="96" t="s">
        <v>79</v>
      </c>
      <c r="B15" s="96" t="s">
        <v>78</v>
      </c>
      <c r="C15" s="96" t="s">
        <v>25</v>
      </c>
      <c r="D15" s="96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5.2230912379888248E-3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2.5054519430876034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4.7169144409421803E-3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3.0467043486041798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3">
      <c r="A16" s="96"/>
      <c r="B16" s="96"/>
      <c r="C16" s="96"/>
      <c r="D16" s="96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5.2230912379888248E-3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13.806935015811828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4.7169144409421803E-3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16.789598506254698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3">
      <c r="A17" s="96" t="s">
        <v>22</v>
      </c>
      <c r="B17" s="96" t="s">
        <v>33</v>
      </c>
      <c r="C17" s="96" t="s">
        <v>24</v>
      </c>
      <c r="D17" s="96" t="s">
        <v>24</v>
      </c>
      <c r="E17" s="96" t="s">
        <v>25</v>
      </c>
      <c r="F17" s="96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('TUSD BE'!$L$17+'TUSD BF'!$L$17+'TUSD CVA'!$L$17)*1</f>
        <v>28.961630327038851</v>
      </c>
      <c r="M17" s="13">
        <f>('TUSD BE'!$M$17+'TUSD BF'!$M$17+'TUSD CVA'!$M$17)*1</f>
        <v>1.5265015932175889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90.112615581118007</v>
      </c>
      <c r="R17" s="13">
        <f>('TUSD BE'!$R$17+'TUSD BF'!$R$17+'TUSD CVA'!$R$17)*1</f>
        <v>14.226372618008231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355.48941767879018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571.32310759974189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30.880819506861336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28.698231986933099</v>
      </c>
      <c r="AJ17" s="13">
        <v>1.5632652097234301</v>
      </c>
      <c r="AK17" s="13">
        <v>0</v>
      </c>
      <c r="AL17" s="13">
        <v>0</v>
      </c>
      <c r="AM17" s="13">
        <v>0</v>
      </c>
      <c r="AN17" s="13">
        <v>56.639069329199003</v>
      </c>
      <c r="AO17" s="13">
        <v>8.8676059326559695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292.92414270450001</v>
      </c>
      <c r="AV17" s="13">
        <v>0</v>
      </c>
      <c r="AW17" s="13">
        <v>0</v>
      </c>
      <c r="AX17" s="13">
        <v>694.74525243300104</v>
      </c>
      <c r="AY17" s="13">
        <v>0</v>
      </c>
      <c r="AZ17" s="13">
        <v>0</v>
      </c>
      <c r="BA17" s="13">
        <v>25.935145281259299</v>
      </c>
      <c r="BB17" s="13">
        <v>0</v>
      </c>
      <c r="BC17" s="13">
        <v>0</v>
      </c>
      <c r="BD17" s="13">
        <v>0</v>
      </c>
    </row>
    <row r="18" spans="1:56" ht="11.25" customHeight="1" x14ac:dyDescent="0.3">
      <c r="A18" s="96"/>
      <c r="B18" s="96"/>
      <c r="C18" s="96"/>
      <c r="D18" s="96"/>
      <c r="E18" s="96"/>
      <c r="F18" s="96"/>
      <c r="G18" s="18" t="s">
        <v>82</v>
      </c>
      <c r="H18" s="18" t="s">
        <v>68</v>
      </c>
      <c r="I18" s="18">
        <f>'MERCADO TUSD'!$U$15</f>
        <v>0.19500000000000003</v>
      </c>
      <c r="J18" s="15"/>
      <c r="L18" s="13">
        <f>('TUSD BE'!$L$18+'TUSD BF'!$L$18+'TUSD CVA'!$L$18)*1</f>
        <v>28.961630327038851</v>
      </c>
      <c r="M18" s="13">
        <f>('TUSD BE'!$M$18+'TUSD BF'!$M$18+'TUSD CVA'!$M$18)*1</f>
        <v>1.5265015932175889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90.112615581118007</v>
      </c>
      <c r="R18" s="13">
        <f>('TUSD BE'!$R$18+'TUSD BF'!$R$18+'TUSD CVA'!$R$18)*1</f>
        <v>14.226372618008231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213.29498115670125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342.79389589627397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30.880819506861336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28.698231986933099</v>
      </c>
      <c r="AJ18" s="13">
        <v>1.5632652097234301</v>
      </c>
      <c r="AK18" s="13">
        <v>0</v>
      </c>
      <c r="AL18" s="13">
        <v>0</v>
      </c>
      <c r="AM18" s="13">
        <v>0</v>
      </c>
      <c r="AN18" s="13">
        <v>56.639069329199003</v>
      </c>
      <c r="AO18" s="13">
        <v>8.8676059326559695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175.755587756338</v>
      </c>
      <c r="AV18" s="13">
        <v>0</v>
      </c>
      <c r="AW18" s="13">
        <v>0</v>
      </c>
      <c r="AX18" s="13">
        <v>416.84714084355102</v>
      </c>
      <c r="AY18" s="13">
        <v>0</v>
      </c>
      <c r="AZ18" s="13">
        <v>0</v>
      </c>
      <c r="BA18" s="13">
        <v>25.935145281259299</v>
      </c>
      <c r="BB18" s="13">
        <v>0</v>
      </c>
      <c r="BC18" s="13">
        <v>0</v>
      </c>
      <c r="BD18" s="13">
        <v>0</v>
      </c>
    </row>
    <row r="19" spans="1:56" ht="11.25" customHeight="1" x14ac:dyDescent="0.3">
      <c r="A19" s="96"/>
      <c r="B19" s="96"/>
      <c r="C19" s="96"/>
      <c r="D19" s="96"/>
      <c r="E19" s="96"/>
      <c r="F19" s="96"/>
      <c r="G19" s="18" t="s">
        <v>70</v>
      </c>
      <c r="H19" s="18" t="s">
        <v>68</v>
      </c>
      <c r="I19" s="18">
        <f>'MERCADO TUSD'!$U$16</f>
        <v>0.51100000000000001</v>
      </c>
      <c r="J19" s="15"/>
      <c r="L19" s="13">
        <f>('TUSD BE'!$L$19+'TUSD BF'!$L$19+'TUSD CVA'!$L$19)*1</f>
        <v>28.961630327038851</v>
      </c>
      <c r="M19" s="13">
        <f>('TUSD BE'!$M$19+'TUSD BF'!$M$19+'TUSD CVA'!$M$19)*1</f>
        <v>1.5265015932175889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90.112615581118007</v>
      </c>
      <c r="R19" s="13">
        <f>('TUSD BE'!$R$19+'TUSD BF'!$R$19+'TUSD CVA'!$R$19)*1</f>
        <v>14.226372618008231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71.100544634612362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114.26457973804321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30.880819506861336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28.698231986933099</v>
      </c>
      <c r="AJ19" s="13">
        <v>1.5632652097234301</v>
      </c>
      <c r="AK19" s="13">
        <v>0</v>
      </c>
      <c r="AL19" s="13">
        <v>0</v>
      </c>
      <c r="AM19" s="13">
        <v>0</v>
      </c>
      <c r="AN19" s="13">
        <v>56.639069329199003</v>
      </c>
      <c r="AO19" s="13">
        <v>8.8676059326559695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58.587032808177199</v>
      </c>
      <c r="AV19" s="13">
        <v>0</v>
      </c>
      <c r="AW19" s="13">
        <v>0</v>
      </c>
      <c r="AX19" s="13">
        <v>138.948976172854</v>
      </c>
      <c r="AY19" s="13">
        <v>0</v>
      </c>
      <c r="AZ19" s="13">
        <v>0</v>
      </c>
      <c r="BA19" s="13">
        <v>25.935145281259299</v>
      </c>
      <c r="BB19" s="13">
        <v>0</v>
      </c>
      <c r="BC19" s="13">
        <v>0</v>
      </c>
      <c r="BD19" s="13">
        <v>0</v>
      </c>
    </row>
    <row r="20" spans="1:56" ht="11.25" customHeight="1" x14ac:dyDescent="0.3">
      <c r="A20" s="96"/>
      <c r="B20" s="96" t="s">
        <v>23</v>
      </c>
      <c r="C20" s="96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5284.665</v>
      </c>
      <c r="J20" s="15"/>
      <c r="L20" s="13">
        <f>('TUSD BE'!$L$20+'TUSD BF'!$L$20+'TUSD CVA'!$L$20)*1</f>
        <v>28.961630327038851</v>
      </c>
      <c r="M20" s="13">
        <f>('TUSD BE'!$M$20+'TUSD BF'!$M$20+'TUSD CVA'!$M$20)*1</f>
        <v>1.5265015932175889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90.112615581118007</v>
      </c>
      <c r="R20" s="13">
        <f>('TUSD BE'!$R$20+'TUSD BF'!$R$20+'TUSD CVA'!$R$20)*1</f>
        <v>14.226372618008231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122.57636388328396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197.00795012840013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30.880819506861336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28.698231986933099</v>
      </c>
      <c r="AJ20" s="13">
        <v>1.5632652097234301</v>
      </c>
      <c r="AK20" s="13">
        <v>0</v>
      </c>
      <c r="AL20" s="13">
        <v>0</v>
      </c>
      <c r="AM20" s="13">
        <v>0</v>
      </c>
      <c r="AN20" s="13">
        <v>56.639069329199003</v>
      </c>
      <c r="AO20" s="13">
        <v>8.8676059326559695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101.003269740555</v>
      </c>
      <c r="AV20" s="13">
        <v>0</v>
      </c>
      <c r="AW20" s="13">
        <v>0</v>
      </c>
      <c r="AX20" s="13">
        <v>239.56729364780401</v>
      </c>
      <c r="AY20" s="13">
        <v>0</v>
      </c>
      <c r="AZ20" s="13">
        <v>0</v>
      </c>
      <c r="BA20" s="13">
        <v>25.935145281259299</v>
      </c>
      <c r="BB20" s="13">
        <v>0</v>
      </c>
      <c r="BC20" s="13">
        <v>0</v>
      </c>
      <c r="BD20" s="13">
        <v>0</v>
      </c>
    </row>
    <row r="21" spans="1:56" ht="11.25" customHeight="1" x14ac:dyDescent="0.3">
      <c r="A21" s="96"/>
      <c r="B21" s="96"/>
      <c r="C21" s="96"/>
      <c r="D21" s="17" t="s">
        <v>29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53.816000000000003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0.53427555762615608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42.901727359149383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68.952782544940035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10.808286827401467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0.54714282340320197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35.351144409194099</v>
      </c>
      <c r="AV21" s="13">
        <v>0</v>
      </c>
      <c r="AW21" s="13">
        <v>0</v>
      </c>
      <c r="AX21" s="13">
        <v>83.848552776731395</v>
      </c>
      <c r="AY21" s="13">
        <v>0</v>
      </c>
      <c r="AZ21" s="13">
        <v>0</v>
      </c>
      <c r="BA21" s="13">
        <v>9.0773008484407605</v>
      </c>
      <c r="BB21" s="13">
        <v>0</v>
      </c>
      <c r="BC21" s="13">
        <v>0</v>
      </c>
      <c r="BD21" s="13">
        <v>0</v>
      </c>
    </row>
    <row r="22" spans="1:56" ht="11.25" customHeight="1" x14ac:dyDescent="0.3">
      <c r="A22" s="96"/>
      <c r="B22" s="96"/>
      <c r="C22" s="96"/>
      <c r="D22" s="17" t="s">
        <v>30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106.858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0.91590095593055332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73.545818329970373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118.20477007704007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18.528491704116799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0.93795912583406105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60.601961844332799</v>
      </c>
      <c r="AV22" s="13">
        <v>0</v>
      </c>
      <c r="AW22" s="13">
        <v>0</v>
      </c>
      <c r="AX22" s="13">
        <v>143.74037618868201</v>
      </c>
      <c r="AY22" s="13">
        <v>0</v>
      </c>
      <c r="AZ22" s="13">
        <v>0</v>
      </c>
      <c r="BA22" s="13">
        <v>15.5610871687556</v>
      </c>
      <c r="BB22" s="13">
        <v>0</v>
      </c>
      <c r="BC22" s="13">
        <v>0</v>
      </c>
      <c r="BD22" s="13">
        <v>0</v>
      </c>
    </row>
    <row r="23" spans="1:56" ht="11.25" customHeight="1" x14ac:dyDescent="0.3">
      <c r="A23" s="96"/>
      <c r="B23" s="96"/>
      <c r="C23" s="96"/>
      <c r="D23" s="17" t="s">
        <v>31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84.406000000000006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1.3738514338958301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110.31872749495557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177.30715511556011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27.792737556175204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1.40693868875109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90.902942766499194</v>
      </c>
      <c r="AV23" s="13">
        <v>0</v>
      </c>
      <c r="AW23" s="13">
        <v>0</v>
      </c>
      <c r="AX23" s="13">
        <v>215.61056428302399</v>
      </c>
      <c r="AY23" s="13">
        <v>0</v>
      </c>
      <c r="AZ23" s="13">
        <v>0</v>
      </c>
      <c r="BA23" s="13">
        <v>23.341630753133401</v>
      </c>
      <c r="BB23" s="13">
        <v>0</v>
      </c>
      <c r="BC23" s="13">
        <v>0</v>
      </c>
      <c r="BD23" s="13">
        <v>0</v>
      </c>
    </row>
    <row r="24" spans="1:56" ht="11.25" customHeight="1" x14ac:dyDescent="0.3">
      <c r="A24" s="96"/>
      <c r="B24" s="96"/>
      <c r="C24" s="96"/>
      <c r="D24" s="17" t="s">
        <v>32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19.05</v>
      </c>
      <c r="J24" s="15"/>
      <c r="L24" s="13">
        <f>('TUSD BE'!$L$24+'TUSD BF'!$L$24+'TUSD CVA'!$L$24)*1</f>
        <v>0</v>
      </c>
      <c r="M24" s="13">
        <f>('TUSD BE'!$M$24+'TUSD BF'!$M$24+'TUSD CVA'!$M$24)*1</f>
        <v>1.5265015932175889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122.57636388328396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197.00795012840013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30.880819506861336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1.5632652097234301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101.003269740555</v>
      </c>
      <c r="AV24" s="13">
        <v>0</v>
      </c>
      <c r="AW24" s="13">
        <v>0</v>
      </c>
      <c r="AX24" s="13">
        <v>239.56729364780401</v>
      </c>
      <c r="AY24" s="13">
        <v>0</v>
      </c>
      <c r="AZ24" s="13">
        <v>0</v>
      </c>
      <c r="BA24" s="13">
        <v>25.935145281259299</v>
      </c>
      <c r="BB24" s="13">
        <v>0</v>
      </c>
      <c r="BC24" s="13">
        <v>0</v>
      </c>
      <c r="BD24" s="13">
        <v>0</v>
      </c>
    </row>
    <row r="25" spans="1:56" ht="11.25" customHeight="1" x14ac:dyDescent="0.3">
      <c r="A25" s="96"/>
      <c r="B25" s="96" t="s">
        <v>84</v>
      </c>
      <c r="C25" s="96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('TUSD BE'!$L$25+'TUSD BF'!$L$25+'TUSD CVA'!$L$25)*1</f>
        <v>28.961630327038851</v>
      </c>
      <c r="M25" s="13">
        <f>('TUSD BE'!$M$25+'TUSD BF'!$M$25+'TUSD CVA'!$M$25)*1</f>
        <v>1.5265015932175889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90.112615581118007</v>
      </c>
      <c r="R25" s="13">
        <f>('TUSD BE'!$R$25+'TUSD BF'!$R$25+'TUSD CVA'!$R$25)*1</f>
        <v>14.226372618008231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122.57636388328396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197.00795012840013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30.880819506861336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28.698231986933099</v>
      </c>
      <c r="AJ25" s="13">
        <v>1.5632652097234301</v>
      </c>
      <c r="AK25" s="13">
        <v>0</v>
      </c>
      <c r="AL25" s="13">
        <v>0</v>
      </c>
      <c r="AM25" s="13">
        <v>0</v>
      </c>
      <c r="AN25" s="13">
        <v>56.639069329199003</v>
      </c>
      <c r="AO25" s="13">
        <v>8.8676059326559695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101.003269740555</v>
      </c>
      <c r="AV25" s="13">
        <v>0</v>
      </c>
      <c r="AW25" s="13">
        <v>0</v>
      </c>
      <c r="AX25" s="13">
        <v>239.56729364780401</v>
      </c>
      <c r="AY25" s="13">
        <v>0</v>
      </c>
      <c r="AZ25" s="13">
        <v>0</v>
      </c>
      <c r="BA25" s="13">
        <v>25.935145281259299</v>
      </c>
      <c r="BB25" s="13">
        <v>0</v>
      </c>
      <c r="BC25" s="13">
        <v>0</v>
      </c>
      <c r="BD25" s="13">
        <v>0</v>
      </c>
    </row>
    <row r="26" spans="1:56" ht="11.25" customHeight="1" x14ac:dyDescent="0.3">
      <c r="A26" s="96"/>
      <c r="B26" s="96"/>
      <c r="C26" s="96"/>
      <c r="D26" s="17" t="s">
        <v>29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0.53427555762615608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42.901727359149383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68.952782544940035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10.808286827401467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0.54714282340320197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35.351144409194099</v>
      </c>
      <c r="AV26" s="13">
        <v>0</v>
      </c>
      <c r="AW26" s="13">
        <v>0</v>
      </c>
      <c r="AX26" s="13">
        <v>83.848552776731395</v>
      </c>
      <c r="AY26" s="13">
        <v>0</v>
      </c>
      <c r="AZ26" s="13">
        <v>0</v>
      </c>
      <c r="BA26" s="13">
        <v>9.0773008484407605</v>
      </c>
      <c r="BB26" s="13">
        <v>0</v>
      </c>
      <c r="BC26" s="13">
        <v>0</v>
      </c>
      <c r="BD26" s="13">
        <v>0</v>
      </c>
    </row>
    <row r="27" spans="1:56" ht="11.25" customHeight="1" x14ac:dyDescent="0.3">
      <c r="A27" s="96"/>
      <c r="B27" s="96"/>
      <c r="C27" s="96"/>
      <c r="D27" s="17" t="s">
        <v>30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0.91590095593055332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73.545818329970373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118.20477007704007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18.528491704116799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0.93795912583406105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60.601961844332799</v>
      </c>
      <c r="AV27" s="13">
        <v>0</v>
      </c>
      <c r="AW27" s="13">
        <v>0</v>
      </c>
      <c r="AX27" s="13">
        <v>143.74037618868201</v>
      </c>
      <c r="AY27" s="13">
        <v>0</v>
      </c>
      <c r="AZ27" s="13">
        <v>0</v>
      </c>
      <c r="BA27" s="13">
        <v>15.5610871687556</v>
      </c>
      <c r="BB27" s="13">
        <v>0</v>
      </c>
      <c r="BC27" s="13">
        <v>0</v>
      </c>
      <c r="BD27" s="13">
        <v>0</v>
      </c>
    </row>
    <row r="28" spans="1:56" ht="11.25" customHeight="1" x14ac:dyDescent="0.3">
      <c r="A28" s="96"/>
      <c r="B28" s="96"/>
      <c r="C28" s="96"/>
      <c r="D28" s="17" t="s">
        <v>31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1.3738514338958301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110.31872749495557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177.30715511556011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27.792737556175204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1.40693868875109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90.902942766499194</v>
      </c>
      <c r="AV28" s="13">
        <v>0</v>
      </c>
      <c r="AW28" s="13">
        <v>0</v>
      </c>
      <c r="AX28" s="13">
        <v>215.61056428302399</v>
      </c>
      <c r="AY28" s="13">
        <v>0</v>
      </c>
      <c r="AZ28" s="13">
        <v>0</v>
      </c>
      <c r="BA28" s="13">
        <v>23.341630753133401</v>
      </c>
      <c r="BB28" s="13">
        <v>0</v>
      </c>
      <c r="BC28" s="13">
        <v>0</v>
      </c>
      <c r="BD28" s="13">
        <v>0</v>
      </c>
    </row>
    <row r="29" spans="1:56" ht="11.25" customHeight="1" x14ac:dyDescent="0.3">
      <c r="A29" s="96"/>
      <c r="B29" s="96"/>
      <c r="C29" s="96"/>
      <c r="D29" s="17" t="s">
        <v>32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1.5265015932175889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122.57636388328396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197.00795012840013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30.880819506861336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1.5632652097234301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101.003269740555</v>
      </c>
      <c r="AV29" s="13">
        <v>0</v>
      </c>
      <c r="AW29" s="13">
        <v>0</v>
      </c>
      <c r="AX29" s="13">
        <v>239.56729364780401</v>
      </c>
      <c r="AY29" s="13">
        <v>0</v>
      </c>
      <c r="AZ29" s="13">
        <v>0</v>
      </c>
      <c r="BA29" s="13">
        <v>25.935145281259299</v>
      </c>
      <c r="BB29" s="13">
        <v>0</v>
      </c>
      <c r="BC29" s="13">
        <v>0</v>
      </c>
      <c r="BD29" s="13">
        <v>0</v>
      </c>
    </row>
    <row r="30" spans="1:56" ht="11.25" customHeight="1" x14ac:dyDescent="0.3">
      <c r="A30" s="96" t="s">
        <v>41</v>
      </c>
      <c r="B30" s="96" t="s">
        <v>33</v>
      </c>
      <c r="C30" s="96" t="s">
        <v>42</v>
      </c>
      <c r="D30" s="96" t="s">
        <v>25</v>
      </c>
      <c r="E30" s="96" t="s">
        <v>25</v>
      </c>
      <c r="F30" s="96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('TUSD BE'!$L$30+'TUSD BF'!$L$30+'TUSD CVA'!$L$30)*(1 - CUSTOS!$M$38)</f>
        <v>27.223932507416517</v>
      </c>
      <c r="M30" s="13">
        <f>('TUSD BE'!$M$30+'TUSD BF'!$M$30+'TUSD CVA'!$M$30)*(1 - CUSTOS!$M$38)</f>
        <v>1.4349114976245336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84.705858646250917</v>
      </c>
      <c r="R30" s="13">
        <f>('TUSD BE'!$R$30+'TUSD BF'!$R$30+'TUSD CVA'!$R$30)*(1 - CUSTOS!$M$38)</f>
        <v>13.372790260927736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357.20190759519704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574.08116667415788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29.027970336449656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25.2544441485012</v>
      </c>
      <c r="AJ30" s="13">
        <v>1.37567338455662</v>
      </c>
      <c r="AK30" s="13">
        <v>0</v>
      </c>
      <c r="AL30" s="13">
        <v>0</v>
      </c>
      <c r="AM30" s="13">
        <v>0</v>
      </c>
      <c r="AN30" s="13">
        <v>49.842381009695103</v>
      </c>
      <c r="AO30" s="13">
        <v>7.8034932207372503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275.54789959867099</v>
      </c>
      <c r="AV30" s="13">
        <v>0</v>
      </c>
      <c r="AW30" s="13">
        <v>0</v>
      </c>
      <c r="AX30" s="13">
        <v>653.53958174235902</v>
      </c>
      <c r="AY30" s="13">
        <v>0</v>
      </c>
      <c r="AZ30" s="13">
        <v>0</v>
      </c>
      <c r="BA30" s="13">
        <v>22.8229278475082</v>
      </c>
      <c r="BB30" s="13">
        <v>0</v>
      </c>
      <c r="BC30" s="13">
        <v>0</v>
      </c>
      <c r="BD30" s="13">
        <v>0</v>
      </c>
    </row>
    <row r="31" spans="1:56" ht="11.25" customHeight="1" x14ac:dyDescent="0.3">
      <c r="A31" s="96"/>
      <c r="B31" s="96"/>
      <c r="C31" s="96"/>
      <c r="D31" s="96"/>
      <c r="E31" s="96"/>
      <c r="F31" s="96"/>
      <c r="G31" s="18" t="s">
        <v>82</v>
      </c>
      <c r="H31" s="18" t="s">
        <v>68</v>
      </c>
      <c r="I31" s="18">
        <f>'MERCADO TUSD'!$U$28</f>
        <v>0</v>
      </c>
      <c r="J31" s="15"/>
      <c r="L31" s="13">
        <f>('TUSD BE'!$L$31+'TUSD BF'!$L$31+'TUSD CVA'!$L$31)*(1 - CUSTOS!$M$38)</f>
        <v>27.223932507416517</v>
      </c>
      <c r="M31" s="13">
        <f>('TUSD BE'!$M$31+'TUSD BF'!$M$31+'TUSD CVA'!$M$31)*(1 - CUSTOS!$M$38)</f>
        <v>1.4349114976245336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84.705858646250917</v>
      </c>
      <c r="R31" s="13">
        <f>('TUSD BE'!$R$31+'TUSD BF'!$R$31+'TUSD CVA'!$R$31)*(1 - CUSTOS!$M$38)</f>
        <v>13.372790260927736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214.32489670650284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344.44873927948561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29.027970336449656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25.2544441485012</v>
      </c>
      <c r="AJ31" s="13">
        <v>1.37567338455662</v>
      </c>
      <c r="AK31" s="13">
        <v>0</v>
      </c>
      <c r="AL31" s="13">
        <v>0</v>
      </c>
      <c r="AM31" s="13">
        <v>0</v>
      </c>
      <c r="AN31" s="13">
        <v>49.842381009695103</v>
      </c>
      <c r="AO31" s="13">
        <v>7.8034932207372503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165.33164939200901</v>
      </c>
      <c r="AV31" s="13">
        <v>0</v>
      </c>
      <c r="AW31" s="13">
        <v>0</v>
      </c>
      <c r="AX31" s="13">
        <v>392.12382378381102</v>
      </c>
      <c r="AY31" s="13">
        <v>0</v>
      </c>
      <c r="AZ31" s="13">
        <v>0</v>
      </c>
      <c r="BA31" s="13">
        <v>22.8229278475082</v>
      </c>
      <c r="BB31" s="13">
        <v>0</v>
      </c>
      <c r="BC31" s="13">
        <v>0</v>
      </c>
      <c r="BD31" s="13">
        <v>0</v>
      </c>
    </row>
    <row r="32" spans="1:56" ht="11.25" customHeight="1" x14ac:dyDescent="0.3">
      <c r="A32" s="96"/>
      <c r="B32" s="96"/>
      <c r="C32" s="96"/>
      <c r="D32" s="96"/>
      <c r="E32" s="96"/>
      <c r="F32" s="96"/>
      <c r="G32" s="18" t="s">
        <v>70</v>
      </c>
      <c r="H32" s="18" t="s">
        <v>68</v>
      </c>
      <c r="I32" s="18">
        <f>'MERCADO TUSD'!$U$29</f>
        <v>0</v>
      </c>
      <c r="J32" s="15"/>
      <c r="L32" s="13">
        <f>('TUSD BE'!$L$32+'TUSD BF'!$L$32+'TUSD CVA'!$L$32)*(1 - CUSTOS!$M$38)</f>
        <v>27.223932507416517</v>
      </c>
      <c r="M32" s="13">
        <f>('TUSD BE'!$M$32+'TUSD BF'!$M$32+'TUSD CVA'!$M$32)*(1 - CUSTOS!$M$38)</f>
        <v>1.4349114976245336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84.705858646250917</v>
      </c>
      <c r="R32" s="13">
        <f>('TUSD BE'!$R$32+'TUSD BF'!$R$32+'TUSD CVA'!$R$32)*(1 - CUSTOS!$M$38)</f>
        <v>13.372790260927736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71.441632235500961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114.81621369733617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29.027970336449656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25.2544441485012</v>
      </c>
      <c r="AJ32" s="13">
        <v>1.37567338455662</v>
      </c>
      <c r="AK32" s="13">
        <v>0</v>
      </c>
      <c r="AL32" s="13">
        <v>0</v>
      </c>
      <c r="AM32" s="13">
        <v>0</v>
      </c>
      <c r="AN32" s="13">
        <v>49.842381009695103</v>
      </c>
      <c r="AO32" s="13">
        <v>7.8034932207372503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55.110549797336198</v>
      </c>
      <c r="AV32" s="13">
        <v>0</v>
      </c>
      <c r="AW32" s="13">
        <v>0</v>
      </c>
      <c r="AX32" s="13">
        <v>130.707878979274</v>
      </c>
      <c r="AY32" s="13">
        <v>0</v>
      </c>
      <c r="AZ32" s="13">
        <v>0</v>
      </c>
      <c r="BA32" s="13">
        <v>22.8229278475082</v>
      </c>
      <c r="BB32" s="13">
        <v>0</v>
      </c>
      <c r="BC32" s="13">
        <v>0</v>
      </c>
      <c r="BD32" s="13">
        <v>0</v>
      </c>
    </row>
    <row r="33" spans="1:56" ht="11.25" customHeight="1" x14ac:dyDescent="0.3">
      <c r="A33" s="96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1383.9670000000001</v>
      </c>
      <c r="J33" s="15"/>
      <c r="L33" s="13">
        <f>('TUSD BE'!$L$33+'TUSD BF'!$L$33+'TUSD CVA'!$L$33)*(1 - CUSTOS!$M$38)</f>
        <v>27.223932507416517</v>
      </c>
      <c r="M33" s="13">
        <f>('TUSD BE'!$M$33+'TUSD BF'!$M$33+'TUSD CVA'!$M$33)*(1 - CUSTOS!$M$38)</f>
        <v>1.4349114976245336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84.705858646250917</v>
      </c>
      <c r="R33" s="13">
        <f>('TUSD BE'!$R$33+'TUSD BF'!$R$33+'TUSD CVA'!$R$33)*(1 - CUSTOS!$M$38)</f>
        <v>13.372790260927736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115.22178205028692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185.1874731206961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29.027970336449656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25.2544441485012</v>
      </c>
      <c r="AJ33" s="13">
        <v>1.37567338455662</v>
      </c>
      <c r="AK33" s="13">
        <v>0</v>
      </c>
      <c r="AL33" s="13">
        <v>0</v>
      </c>
      <c r="AM33" s="13">
        <v>0</v>
      </c>
      <c r="AN33" s="13">
        <v>49.842381009695103</v>
      </c>
      <c r="AO33" s="13">
        <v>7.8034932207372503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88.882877371688096</v>
      </c>
      <c r="AV33" s="13">
        <v>0</v>
      </c>
      <c r="AW33" s="13">
        <v>0</v>
      </c>
      <c r="AX33" s="13">
        <v>210.81921841006701</v>
      </c>
      <c r="AY33" s="13">
        <v>0</v>
      </c>
      <c r="AZ33" s="13">
        <v>0</v>
      </c>
      <c r="BA33" s="13">
        <v>22.8229278475082</v>
      </c>
      <c r="BB33" s="13">
        <v>0</v>
      </c>
      <c r="BC33" s="13">
        <v>0</v>
      </c>
      <c r="BD33" s="13">
        <v>0</v>
      </c>
    </row>
    <row r="34" spans="1:56" ht="11.25" customHeight="1" x14ac:dyDescent="0.3">
      <c r="A34" s="96"/>
      <c r="B34" s="96" t="s">
        <v>33</v>
      </c>
      <c r="C34" s="96" t="s">
        <v>42</v>
      </c>
      <c r="D34" s="96" t="s">
        <v>85</v>
      </c>
      <c r="E34" s="96" t="s">
        <v>25</v>
      </c>
      <c r="F34" s="96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('TUSD BE'!$L$34+'TUSD BF'!$L$34+'TUSD CVA'!$L$34)*(1 - CUSTOS!$M$39)</f>
        <v>27.223932507416517</v>
      </c>
      <c r="M34" s="13">
        <f>('TUSD BE'!$M$34+'TUSD BF'!$M$34+'TUSD CVA'!$M$34)*(1 - CUSTOS!$M$39)</f>
        <v>1.4349114976245336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84.705858646250917</v>
      </c>
      <c r="R34" s="13">
        <f>('TUSD BE'!$R$34+'TUSD BF'!$R$34+'TUSD CVA'!$R$34)*(1 - CUSTOS!$M$39)</f>
        <v>13.372790260927736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357.20190759519704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574.08116667415788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29.027970336449656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25.2544441485012</v>
      </c>
      <c r="AJ34" s="13">
        <v>1.37567338455662</v>
      </c>
      <c r="AK34" s="13">
        <v>0</v>
      </c>
      <c r="AL34" s="13">
        <v>0</v>
      </c>
      <c r="AM34" s="13">
        <v>0</v>
      </c>
      <c r="AN34" s="13">
        <v>49.842381009695103</v>
      </c>
      <c r="AO34" s="13">
        <v>7.8034932207372503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275.54789959867099</v>
      </c>
      <c r="AV34" s="13">
        <v>0</v>
      </c>
      <c r="AW34" s="13">
        <v>0</v>
      </c>
      <c r="AX34" s="13">
        <v>653.53958174235902</v>
      </c>
      <c r="AY34" s="13">
        <v>0</v>
      </c>
      <c r="AZ34" s="13">
        <v>0</v>
      </c>
      <c r="BA34" s="13">
        <v>22.8229278475082</v>
      </c>
      <c r="BB34" s="13">
        <v>0</v>
      </c>
      <c r="BC34" s="13">
        <v>0</v>
      </c>
      <c r="BD34" s="13">
        <v>0</v>
      </c>
    </row>
    <row r="35" spans="1:56" ht="11.25" customHeight="1" x14ac:dyDescent="0.3">
      <c r="A35" s="96"/>
      <c r="B35" s="96"/>
      <c r="C35" s="96"/>
      <c r="D35" s="96"/>
      <c r="E35" s="96"/>
      <c r="F35" s="96"/>
      <c r="G35" s="18" t="s">
        <v>82</v>
      </c>
      <c r="H35" s="18" t="s">
        <v>68</v>
      </c>
      <c r="I35" s="18">
        <f>'MERCADO TUSD'!$U$32</f>
        <v>0</v>
      </c>
      <c r="J35" s="15"/>
      <c r="L35" s="13">
        <f>('TUSD BE'!$L$35+'TUSD BF'!$L$35+'TUSD CVA'!$L$35)*(1 - CUSTOS!$M$39)</f>
        <v>27.223932507416517</v>
      </c>
      <c r="M35" s="13">
        <f>('TUSD BE'!$M$35+'TUSD BF'!$M$35+'TUSD CVA'!$M$35)*(1 - CUSTOS!$M$39)</f>
        <v>1.4349114976245336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84.705858646250917</v>
      </c>
      <c r="R35" s="13">
        <f>('TUSD BE'!$R$35+'TUSD BF'!$R$35+'TUSD CVA'!$R$35)*(1 - CUSTOS!$M$39)</f>
        <v>13.372790260927736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214.32489670650284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344.44873927948561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29.027970336449656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25.2544441485012</v>
      </c>
      <c r="AJ35" s="13">
        <v>1.37567338455662</v>
      </c>
      <c r="AK35" s="13">
        <v>0</v>
      </c>
      <c r="AL35" s="13">
        <v>0</v>
      </c>
      <c r="AM35" s="13">
        <v>0</v>
      </c>
      <c r="AN35" s="13">
        <v>49.842381009695103</v>
      </c>
      <c r="AO35" s="13">
        <v>7.8034932207372503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165.33164939200901</v>
      </c>
      <c r="AV35" s="13">
        <v>0</v>
      </c>
      <c r="AW35" s="13">
        <v>0</v>
      </c>
      <c r="AX35" s="13">
        <v>392.12382378381102</v>
      </c>
      <c r="AY35" s="13">
        <v>0</v>
      </c>
      <c r="AZ35" s="13">
        <v>0</v>
      </c>
      <c r="BA35" s="13">
        <v>22.8229278475082</v>
      </c>
      <c r="BB35" s="13">
        <v>0</v>
      </c>
      <c r="BC35" s="13">
        <v>0</v>
      </c>
      <c r="BD35" s="13">
        <v>0</v>
      </c>
    </row>
    <row r="36" spans="1:56" ht="11.25" customHeight="1" x14ac:dyDescent="0.3">
      <c r="A36" s="96"/>
      <c r="B36" s="96"/>
      <c r="C36" s="96"/>
      <c r="D36" s="96"/>
      <c r="E36" s="96"/>
      <c r="F36" s="96"/>
      <c r="G36" s="18" t="s">
        <v>70</v>
      </c>
      <c r="H36" s="18" t="s">
        <v>68</v>
      </c>
      <c r="I36" s="18">
        <f>'MERCADO TUSD'!$U$33</f>
        <v>0</v>
      </c>
      <c r="J36" s="15"/>
      <c r="L36" s="13">
        <f>('TUSD BE'!$L$36+'TUSD BF'!$L$36+'TUSD CVA'!$L$36)*(1 - CUSTOS!$M$39)</f>
        <v>27.223932507416517</v>
      </c>
      <c r="M36" s="13">
        <f>('TUSD BE'!$M$36+'TUSD BF'!$M$36+'TUSD CVA'!$M$36)*(1 - CUSTOS!$M$39)</f>
        <v>1.4349114976245336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84.705858646250917</v>
      </c>
      <c r="R36" s="13">
        <f>('TUSD BE'!$R$36+'TUSD BF'!$R$36+'TUSD CVA'!$R$36)*(1 - CUSTOS!$M$39)</f>
        <v>13.372790260927736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71.441632235500961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114.81621369733617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29.027970336449656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25.2544441485012</v>
      </c>
      <c r="AJ36" s="13">
        <v>1.37567338455662</v>
      </c>
      <c r="AK36" s="13">
        <v>0</v>
      </c>
      <c r="AL36" s="13">
        <v>0</v>
      </c>
      <c r="AM36" s="13">
        <v>0</v>
      </c>
      <c r="AN36" s="13">
        <v>49.842381009695103</v>
      </c>
      <c r="AO36" s="13">
        <v>7.8034932207372503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55.110549797336198</v>
      </c>
      <c r="AV36" s="13">
        <v>0</v>
      </c>
      <c r="AW36" s="13">
        <v>0</v>
      </c>
      <c r="AX36" s="13">
        <v>130.707878979274</v>
      </c>
      <c r="AY36" s="13">
        <v>0</v>
      </c>
      <c r="AZ36" s="13">
        <v>0</v>
      </c>
      <c r="BA36" s="13">
        <v>22.8229278475082</v>
      </c>
      <c r="BB36" s="13">
        <v>0</v>
      </c>
      <c r="BC36" s="13">
        <v>0</v>
      </c>
      <c r="BD36" s="13">
        <v>0</v>
      </c>
    </row>
    <row r="37" spans="1:56" ht="11.25" customHeight="1" x14ac:dyDescent="0.3">
      <c r="A37" s="96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('TUSD BE'!$L$37+'TUSD BF'!$L$37+'TUSD CVA'!$L$37)*(1 - CUSTOS!$M$39)</f>
        <v>27.223932507416517</v>
      </c>
      <c r="M37" s="13">
        <f>('TUSD BE'!$M$37+'TUSD BF'!$M$37+'TUSD CVA'!$M$37)*(1 - CUSTOS!$M$39)</f>
        <v>1.4349114976245336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84.705858646250917</v>
      </c>
      <c r="R37" s="13">
        <f>('TUSD BE'!$R$37+'TUSD BF'!$R$37+'TUSD CVA'!$R$37)*(1 - CUSTOS!$M$39)</f>
        <v>13.372790260927736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115.22178205028692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185.1874731206961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29.027970336449656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25.2544441485012</v>
      </c>
      <c r="AJ37" s="13">
        <v>1.37567338455662</v>
      </c>
      <c r="AK37" s="13">
        <v>0</v>
      </c>
      <c r="AL37" s="13">
        <v>0</v>
      </c>
      <c r="AM37" s="13">
        <v>0</v>
      </c>
      <c r="AN37" s="13">
        <v>49.842381009695103</v>
      </c>
      <c r="AO37" s="13">
        <v>7.8034932207372503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88.882877371688096</v>
      </c>
      <c r="AV37" s="13">
        <v>0</v>
      </c>
      <c r="AW37" s="13">
        <v>0</v>
      </c>
      <c r="AX37" s="13">
        <v>210.81921841006701</v>
      </c>
      <c r="AY37" s="13">
        <v>0</v>
      </c>
      <c r="AZ37" s="13">
        <v>0</v>
      </c>
      <c r="BA37" s="13">
        <v>22.8229278475082</v>
      </c>
      <c r="BB37" s="13">
        <v>0</v>
      </c>
      <c r="BC37" s="13">
        <v>0</v>
      </c>
      <c r="BD37" s="13">
        <v>0</v>
      </c>
    </row>
    <row r="38" spans="1:56" ht="11.25" customHeight="1" x14ac:dyDescent="0.3">
      <c r="A38" s="96"/>
      <c r="B38" s="96" t="s">
        <v>33</v>
      </c>
      <c r="C38" s="96" t="s">
        <v>42</v>
      </c>
      <c r="D38" s="96" t="s">
        <v>86</v>
      </c>
      <c r="E38" s="96" t="s">
        <v>25</v>
      </c>
      <c r="F38" s="96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('TUSD BE'!$L$38+'TUSD BF'!$L$38+'TUSD CVA'!$L$38)*(1 - CUSTOS!$M$40)</f>
        <v>26.644699900875743</v>
      </c>
      <c r="M38" s="13">
        <f>('TUSD BE'!$M$38+'TUSD BF'!$M$38+'TUSD CVA'!$M$38)*(1 - CUSTOS!$M$40)</f>
        <v>1.4043814657601819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82.903606334628563</v>
      </c>
      <c r="R38" s="13">
        <f>('TUSD BE'!$R$38+'TUSD BF'!$R$38+'TUSD CVA'!$R$38)*(1 - CUSTOS!$M$40)</f>
        <v>13.088262808567572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349.60186700806526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561.86667376619721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28.41035394631243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24.106514869023801</v>
      </c>
      <c r="AJ38" s="13">
        <v>1.3131427761676899</v>
      </c>
      <c r="AK38" s="13">
        <v>0</v>
      </c>
      <c r="AL38" s="13">
        <v>0</v>
      </c>
      <c r="AM38" s="13">
        <v>0</v>
      </c>
      <c r="AN38" s="13">
        <v>47.576818236527103</v>
      </c>
      <c r="AO38" s="13">
        <v>7.4487889834310197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263.02299507145801</v>
      </c>
      <c r="AV38" s="13">
        <v>0</v>
      </c>
      <c r="AW38" s="13">
        <v>0</v>
      </c>
      <c r="AX38" s="13">
        <v>623.83323711770595</v>
      </c>
      <c r="AY38" s="13">
        <v>0</v>
      </c>
      <c r="AZ38" s="13">
        <v>0</v>
      </c>
      <c r="BA38" s="13">
        <v>21.785522036257799</v>
      </c>
      <c r="BB38" s="13">
        <v>0</v>
      </c>
      <c r="BC38" s="13">
        <v>0</v>
      </c>
      <c r="BD38" s="13">
        <v>0</v>
      </c>
    </row>
    <row r="39" spans="1:56" ht="11.25" customHeight="1" x14ac:dyDescent="0.3">
      <c r="A39" s="96"/>
      <c r="B39" s="96"/>
      <c r="C39" s="96"/>
      <c r="D39" s="96"/>
      <c r="E39" s="96"/>
      <c r="F39" s="96"/>
      <c r="G39" s="18" t="s">
        <v>82</v>
      </c>
      <c r="H39" s="18" t="s">
        <v>68</v>
      </c>
      <c r="I39" s="18">
        <f>'MERCADO TUSD'!$U$36</f>
        <v>0</v>
      </c>
      <c r="J39" s="15"/>
      <c r="L39" s="13">
        <f>('TUSD BE'!$L$39+'TUSD BF'!$L$39+'TUSD CVA'!$L$39)*(1 - CUSTOS!$M$40)</f>
        <v>26.644699900875743</v>
      </c>
      <c r="M39" s="13">
        <f>('TUSD BE'!$M$39+'TUSD BF'!$M$39+'TUSD CVA'!$M$39)*(1 - CUSTOS!$M$40)</f>
        <v>1.4043814657601819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82.903606334628563</v>
      </c>
      <c r="R39" s="13">
        <f>('TUSD BE'!$R$39+'TUSD BF'!$R$39+'TUSD CVA'!$R$39)*(1 - CUSTOS!$M$40)</f>
        <v>13.088262808567572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209.76479252125813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337.12004269907106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28.41035394631243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24.106514869023801</v>
      </c>
      <c r="AJ39" s="13">
        <v>1.3131427761676899</v>
      </c>
      <c r="AK39" s="13">
        <v>0</v>
      </c>
      <c r="AL39" s="13">
        <v>0</v>
      </c>
      <c r="AM39" s="13">
        <v>0</v>
      </c>
      <c r="AN39" s="13">
        <v>47.576818236527103</v>
      </c>
      <c r="AO39" s="13">
        <v>7.4487889834310197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157.81657441964401</v>
      </c>
      <c r="AV39" s="13">
        <v>0</v>
      </c>
      <c r="AW39" s="13">
        <v>0</v>
      </c>
      <c r="AX39" s="13">
        <v>374.30001361182002</v>
      </c>
      <c r="AY39" s="13">
        <v>0</v>
      </c>
      <c r="AZ39" s="13">
        <v>0</v>
      </c>
      <c r="BA39" s="13">
        <v>21.785522036257799</v>
      </c>
      <c r="BB39" s="13">
        <v>0</v>
      </c>
      <c r="BC39" s="13">
        <v>0</v>
      </c>
      <c r="BD39" s="13">
        <v>0</v>
      </c>
    </row>
    <row r="40" spans="1:56" ht="11.25" customHeight="1" x14ac:dyDescent="0.3">
      <c r="A40" s="96"/>
      <c r="B40" s="96"/>
      <c r="C40" s="96"/>
      <c r="D40" s="96"/>
      <c r="E40" s="96"/>
      <c r="F40" s="96"/>
      <c r="G40" s="18" t="s">
        <v>70</v>
      </c>
      <c r="H40" s="18" t="s">
        <v>68</v>
      </c>
      <c r="I40" s="18">
        <f>'MERCADO TUSD'!$U$37</f>
        <v>0</v>
      </c>
      <c r="J40" s="15"/>
      <c r="L40" s="13">
        <f>('TUSD BE'!$L$40+'TUSD BF'!$L$40+'TUSD CVA'!$L$40)*(1 - CUSTOS!$M$40)</f>
        <v>26.644699900875743</v>
      </c>
      <c r="M40" s="13">
        <f>('TUSD BE'!$M$40+'TUSD BF'!$M$40+'TUSD CVA'!$M$40)*(1 - CUSTOS!$M$40)</f>
        <v>1.4043814657601819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82.903606334628563</v>
      </c>
      <c r="R40" s="13">
        <f>('TUSD BE'!$R$40+'TUSD BF'!$R$40+'TUSD CVA'!$R$40)*(1 - CUSTOS!$M$40)</f>
        <v>13.088262808567572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69.921597507086048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112.37331553356307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28.41035394631243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24.106514869023801</v>
      </c>
      <c r="AJ40" s="13">
        <v>1.3131427761676899</v>
      </c>
      <c r="AK40" s="13">
        <v>0</v>
      </c>
      <c r="AL40" s="13">
        <v>0</v>
      </c>
      <c r="AM40" s="13">
        <v>0</v>
      </c>
      <c r="AN40" s="13">
        <v>47.576818236527103</v>
      </c>
      <c r="AO40" s="13">
        <v>7.4487889834310197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52.605524806548203</v>
      </c>
      <c r="AV40" s="13">
        <v>0</v>
      </c>
      <c r="AW40" s="13">
        <v>0</v>
      </c>
      <c r="AX40" s="13">
        <v>124.76661175294301</v>
      </c>
      <c r="AY40" s="13">
        <v>0</v>
      </c>
      <c r="AZ40" s="13">
        <v>0</v>
      </c>
      <c r="BA40" s="13">
        <v>21.785522036257799</v>
      </c>
      <c r="BB40" s="13">
        <v>0</v>
      </c>
      <c r="BC40" s="13">
        <v>0</v>
      </c>
      <c r="BD40" s="13">
        <v>0</v>
      </c>
    </row>
    <row r="41" spans="1:56" ht="11.25" customHeight="1" x14ac:dyDescent="0.3">
      <c r="A41" s="96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('TUSD BE'!$L$41+'TUSD BF'!$L$41+'TUSD CVA'!$L$41)*(1 - CUSTOS!$M$40)</f>
        <v>26.644699900875743</v>
      </c>
      <c r="M41" s="13">
        <f>('TUSD BE'!$M$41+'TUSD BF'!$M$41+'TUSD CVA'!$M$41)*(1 - CUSTOS!$M$40)</f>
        <v>1.4043814657601819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82.903606334628563</v>
      </c>
      <c r="R41" s="13">
        <f>('TUSD BE'!$R$41+'TUSD BF'!$R$41+'TUSD CVA'!$R$41)*(1 - CUSTOS!$M$40)</f>
        <v>13.088262808567572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112.77025477262124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181.24731411812812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28.41035394631243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24.106514869023801</v>
      </c>
      <c r="AJ41" s="13">
        <v>1.3131427761676899</v>
      </c>
      <c r="AK41" s="13">
        <v>0</v>
      </c>
      <c r="AL41" s="13">
        <v>0</v>
      </c>
      <c r="AM41" s="13">
        <v>0</v>
      </c>
      <c r="AN41" s="13">
        <v>47.576818236527103</v>
      </c>
      <c r="AO41" s="13">
        <v>7.4487889834310197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84.842746582065899</v>
      </c>
      <c r="AV41" s="13">
        <v>0</v>
      </c>
      <c r="AW41" s="13">
        <v>0</v>
      </c>
      <c r="AX41" s="13">
        <v>201.23652666415501</v>
      </c>
      <c r="AY41" s="13">
        <v>0</v>
      </c>
      <c r="AZ41" s="13">
        <v>0</v>
      </c>
      <c r="BA41" s="13">
        <v>21.785522036257799</v>
      </c>
      <c r="BB41" s="13">
        <v>0</v>
      </c>
      <c r="BC41" s="13">
        <v>0</v>
      </c>
      <c r="BD41" s="13">
        <v>0</v>
      </c>
    </row>
    <row r="42" spans="1:56" ht="11.25" customHeight="1" x14ac:dyDescent="0.3">
      <c r="A42" s="96"/>
      <c r="B42" s="96" t="s">
        <v>84</v>
      </c>
      <c r="C42" s="96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('TUSD BE'!$L$42+'TUSD BF'!$L$42+'TUSD CVA'!$L$42)*(1 - CUSTOS!$M$38)</f>
        <v>27.223932507416517</v>
      </c>
      <c r="M42" s="13">
        <f>('TUSD BE'!$M$42+'TUSD BF'!$M$42+'TUSD CVA'!$M$42)*(1 - CUSTOS!$M$38)</f>
        <v>1.4349114976245336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84.705858646250917</v>
      </c>
      <c r="R42" s="13">
        <f>('TUSD BE'!$R$42+'TUSD BF'!$R$42+'TUSD CVA'!$R$42)*(1 - CUSTOS!$M$38)</f>
        <v>13.372790260927736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115.22178205028692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185.1874731206961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29.027970336449656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25.2544441485012</v>
      </c>
      <c r="AJ42" s="13">
        <v>1.37567338455662</v>
      </c>
      <c r="AK42" s="13">
        <v>0</v>
      </c>
      <c r="AL42" s="13">
        <v>0</v>
      </c>
      <c r="AM42" s="13">
        <v>0</v>
      </c>
      <c r="AN42" s="13">
        <v>49.842381009695103</v>
      </c>
      <c r="AO42" s="13">
        <v>7.8034932207372503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88.882877371688096</v>
      </c>
      <c r="AV42" s="13">
        <v>0</v>
      </c>
      <c r="AW42" s="13">
        <v>0</v>
      </c>
      <c r="AX42" s="13">
        <v>210.81921841006701</v>
      </c>
      <c r="AY42" s="13">
        <v>0</v>
      </c>
      <c r="AZ42" s="13">
        <v>0</v>
      </c>
      <c r="BA42" s="13">
        <v>22.8229278475082</v>
      </c>
      <c r="BB42" s="13">
        <v>0</v>
      </c>
      <c r="BC42" s="13">
        <v>0</v>
      </c>
      <c r="BD42" s="13">
        <v>0</v>
      </c>
    </row>
    <row r="43" spans="1:56" ht="11.25" customHeight="1" x14ac:dyDescent="0.3">
      <c r="A43" s="96"/>
      <c r="B43" s="96"/>
      <c r="C43" s="96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('TUSD BE'!$L$43+'TUSD BF'!$L$43+'TUSD CVA'!$L$43)*(1 - CUSTOS!$M$39)</f>
        <v>27.223932507416517</v>
      </c>
      <c r="M43" s="13">
        <f>('TUSD BE'!$M$43+'TUSD BF'!$M$43+'TUSD CVA'!$M$43)*(1 - CUSTOS!$M$39)</f>
        <v>1.4349114976245336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84.705858646250917</v>
      </c>
      <c r="R43" s="13">
        <f>('TUSD BE'!$R$43+'TUSD BF'!$R$43+'TUSD CVA'!$R$43)*(1 - CUSTOS!$M$39)</f>
        <v>13.372790260927736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115.22178205028692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185.1874731206961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29.027970336449656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25.2544441485012</v>
      </c>
      <c r="AJ43" s="13">
        <v>1.37567338455662</v>
      </c>
      <c r="AK43" s="13">
        <v>0</v>
      </c>
      <c r="AL43" s="13">
        <v>0</v>
      </c>
      <c r="AM43" s="13">
        <v>0</v>
      </c>
      <c r="AN43" s="13">
        <v>49.842381009695103</v>
      </c>
      <c r="AO43" s="13">
        <v>7.8034932207372503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88.882877371688096</v>
      </c>
      <c r="AV43" s="13">
        <v>0</v>
      </c>
      <c r="AW43" s="13">
        <v>0</v>
      </c>
      <c r="AX43" s="13">
        <v>210.81921841006701</v>
      </c>
      <c r="AY43" s="13">
        <v>0</v>
      </c>
      <c r="AZ43" s="13">
        <v>0</v>
      </c>
      <c r="BA43" s="13">
        <v>22.8229278475082</v>
      </c>
      <c r="BB43" s="13">
        <v>0</v>
      </c>
      <c r="BC43" s="13">
        <v>0</v>
      </c>
      <c r="BD43" s="13">
        <v>0</v>
      </c>
    </row>
    <row r="44" spans="1:56" ht="11.25" customHeight="1" x14ac:dyDescent="0.3">
      <c r="A44" s="96"/>
      <c r="B44" s="96"/>
      <c r="C44" s="96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('TUSD BE'!$L$44+'TUSD BF'!$L$44+'TUSD CVA'!$L$44)*(1 - CUSTOS!$M$40)</f>
        <v>26.644699900875743</v>
      </c>
      <c r="M44" s="13">
        <f>('TUSD BE'!$M$44+'TUSD BF'!$M$44+'TUSD CVA'!$M$44)*(1 - CUSTOS!$M$40)</f>
        <v>1.4043814657601819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82.903606334628563</v>
      </c>
      <c r="R44" s="13">
        <f>('TUSD BE'!$R$44+'TUSD BF'!$R$44+'TUSD CVA'!$R$44)*(1 - CUSTOS!$M$40)</f>
        <v>13.088262808567572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112.77025477262124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181.24731411812812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28.41035394631243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24.106514869023801</v>
      </c>
      <c r="AJ44" s="13">
        <v>1.3131427761676899</v>
      </c>
      <c r="AK44" s="13">
        <v>0</v>
      </c>
      <c r="AL44" s="13">
        <v>0</v>
      </c>
      <c r="AM44" s="13">
        <v>0</v>
      </c>
      <c r="AN44" s="13">
        <v>47.576818236527103</v>
      </c>
      <c r="AO44" s="13">
        <v>7.4487889834310197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84.842746582065899</v>
      </c>
      <c r="AV44" s="13">
        <v>0</v>
      </c>
      <c r="AW44" s="13">
        <v>0</v>
      </c>
      <c r="AX44" s="13">
        <v>201.23652666415501</v>
      </c>
      <c r="AY44" s="13">
        <v>0</v>
      </c>
      <c r="AZ44" s="13">
        <v>0</v>
      </c>
      <c r="BA44" s="13">
        <v>21.785522036257799</v>
      </c>
      <c r="BB44" s="13">
        <v>0</v>
      </c>
      <c r="BC44" s="13">
        <v>0</v>
      </c>
      <c r="BD44" s="13">
        <v>0</v>
      </c>
    </row>
    <row r="45" spans="1:56" ht="11.25" customHeight="1" x14ac:dyDescent="0.3">
      <c r="A45" s="96" t="s">
        <v>36</v>
      </c>
      <c r="B45" s="96" t="s">
        <v>33</v>
      </c>
      <c r="C45" s="96" t="s">
        <v>25</v>
      </c>
      <c r="D45" s="96" t="s">
        <v>25</v>
      </c>
      <c r="E45" s="96" t="s">
        <v>25</v>
      </c>
      <c r="F45" s="96" t="s">
        <v>25</v>
      </c>
      <c r="G45" s="18" t="s">
        <v>69</v>
      </c>
      <c r="H45" s="18" t="s">
        <v>68</v>
      </c>
      <c r="I45" s="18">
        <f>'MERCADO TUSD'!$U$42</f>
        <v>0</v>
      </c>
      <c r="J45" s="15"/>
      <c r="L45" s="13">
        <f>('TUSD BE'!$L$45+'TUSD BF'!$L$45+'TUSD CVA'!$L$45)*1</f>
        <v>28.961630327038851</v>
      </c>
      <c r="M45" s="13">
        <f>('TUSD BE'!$M$45+'TUSD BF'!$M$45+'TUSD CVA'!$M$45)*1</f>
        <v>1.5265015932175889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90.112615581118007</v>
      </c>
      <c r="R45" s="13">
        <f>('TUSD BE'!$R$45+'TUSD BF'!$R$45+'TUSD CVA'!$R$45)*1</f>
        <v>14.226372618008231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392.25500882192603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630.42549263826197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30.880819506861336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28.698231986933099</v>
      </c>
      <c r="AJ45" s="13">
        <v>1.5632652097234301</v>
      </c>
      <c r="AK45" s="13">
        <v>0</v>
      </c>
      <c r="AL45" s="13">
        <v>0</v>
      </c>
      <c r="AM45" s="13">
        <v>0</v>
      </c>
      <c r="AN45" s="13">
        <v>56.639069329199003</v>
      </c>
      <c r="AO45" s="13">
        <v>8.8676059326559695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323.219093084115</v>
      </c>
      <c r="AV45" s="13">
        <v>0</v>
      </c>
      <c r="AW45" s="13">
        <v>0</v>
      </c>
      <c r="AX45" s="13">
        <v>766.61540337046904</v>
      </c>
      <c r="AY45" s="13">
        <v>0</v>
      </c>
      <c r="AZ45" s="13">
        <v>0</v>
      </c>
      <c r="BA45" s="13">
        <v>25.935145281259299</v>
      </c>
      <c r="BB45" s="13">
        <v>0</v>
      </c>
      <c r="BC45" s="13">
        <v>0</v>
      </c>
      <c r="BD45" s="13">
        <v>0</v>
      </c>
    </row>
    <row r="46" spans="1:56" ht="11.25" customHeight="1" x14ac:dyDescent="0.3">
      <c r="A46" s="96"/>
      <c r="B46" s="96"/>
      <c r="C46" s="96"/>
      <c r="D46" s="96"/>
      <c r="E46" s="96"/>
      <c r="F46" s="96"/>
      <c r="G46" s="18" t="s">
        <v>82</v>
      </c>
      <c r="H46" s="18" t="s">
        <v>68</v>
      </c>
      <c r="I46" s="18">
        <f>'MERCADO TUSD'!$U$43</f>
        <v>0</v>
      </c>
      <c r="J46" s="15"/>
      <c r="L46" s="13">
        <f>('TUSD BE'!$L$46+'TUSD BF'!$L$46+'TUSD CVA'!$L$46)*1</f>
        <v>28.961630327038851</v>
      </c>
      <c r="M46" s="13">
        <f>('TUSD BE'!$M$46+'TUSD BF'!$M$46+'TUSD CVA'!$M$46)*1</f>
        <v>1.5265015932175889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90.112615581118007</v>
      </c>
      <c r="R46" s="13">
        <f>('TUSD BE'!$R$46+'TUSD BF'!$R$46+'TUSD CVA'!$R$46)*1</f>
        <v>14.226372618008231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235.35699694143707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378.25519112819421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30.880819506861336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28.698231986933099</v>
      </c>
      <c r="AJ46" s="13">
        <v>1.5632652097234301</v>
      </c>
      <c r="AK46" s="13">
        <v>0</v>
      </c>
      <c r="AL46" s="13">
        <v>0</v>
      </c>
      <c r="AM46" s="13">
        <v>0</v>
      </c>
      <c r="AN46" s="13">
        <v>56.639069329199003</v>
      </c>
      <c r="AO46" s="13">
        <v>8.8676059326559695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193.934762251385</v>
      </c>
      <c r="AV46" s="13">
        <v>0</v>
      </c>
      <c r="AW46" s="13">
        <v>0</v>
      </c>
      <c r="AX46" s="13">
        <v>459.96912524353797</v>
      </c>
      <c r="AY46" s="13">
        <v>0</v>
      </c>
      <c r="AZ46" s="13">
        <v>0</v>
      </c>
      <c r="BA46" s="13">
        <v>25.935145281259299</v>
      </c>
      <c r="BB46" s="13">
        <v>0</v>
      </c>
      <c r="BC46" s="13">
        <v>0</v>
      </c>
      <c r="BD46" s="13">
        <v>0</v>
      </c>
    </row>
    <row r="47" spans="1:56" ht="11.25" customHeight="1" x14ac:dyDescent="0.3">
      <c r="A47" s="96"/>
      <c r="B47" s="96"/>
      <c r="C47" s="96"/>
      <c r="D47" s="96"/>
      <c r="E47" s="96"/>
      <c r="F47" s="96"/>
      <c r="G47" s="18" t="s">
        <v>70</v>
      </c>
      <c r="H47" s="18" t="s">
        <v>68</v>
      </c>
      <c r="I47" s="18">
        <f>'MERCADO TUSD'!$U$44</f>
        <v>0</v>
      </c>
      <c r="J47" s="15"/>
      <c r="L47" s="13">
        <f>('TUSD BE'!$L$47+'TUSD BF'!$L$47+'TUSD CVA'!$L$47)*1</f>
        <v>28.961630327038851</v>
      </c>
      <c r="M47" s="13">
        <f>('TUSD BE'!$M$47+'TUSD BF'!$M$47+'TUSD CVA'!$M$47)*1</f>
        <v>1.5265015932175889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90.112615581118007</v>
      </c>
      <c r="R47" s="13">
        <f>('TUSD BE'!$R$47+'TUSD BF'!$R$47+'TUSD CVA'!$R$47)*1</f>
        <v>14.226372618008231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78.452332313812363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126.08509852765236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30.880819506861336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28.698231986933099</v>
      </c>
      <c r="AJ47" s="13">
        <v>1.5632652097234301</v>
      </c>
      <c r="AK47" s="13">
        <v>0</v>
      </c>
      <c r="AL47" s="13">
        <v>0</v>
      </c>
      <c r="AM47" s="13">
        <v>0</v>
      </c>
      <c r="AN47" s="13">
        <v>56.639069329199003</v>
      </c>
      <c r="AO47" s="13">
        <v>8.8676059326559695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64.644920750461694</v>
      </c>
      <c r="AV47" s="13">
        <v>0</v>
      </c>
      <c r="AW47" s="13">
        <v>0</v>
      </c>
      <c r="AX47" s="13">
        <v>153.32305944159501</v>
      </c>
      <c r="AY47" s="13">
        <v>0</v>
      </c>
      <c r="AZ47" s="13">
        <v>0</v>
      </c>
      <c r="BA47" s="13">
        <v>25.935145281259299</v>
      </c>
      <c r="BB47" s="13">
        <v>0</v>
      </c>
      <c r="BC47" s="13">
        <v>0</v>
      </c>
      <c r="BD47" s="13">
        <v>0</v>
      </c>
    </row>
    <row r="48" spans="1:56" ht="11.25" customHeight="1" x14ac:dyDescent="0.3">
      <c r="A48" s="96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643.45600000000002</v>
      </c>
      <c r="J48" s="15"/>
      <c r="L48" s="13">
        <f>('TUSD BE'!$L$48+'TUSD BF'!$L$48+'TUSD CVA'!$L$48)*1</f>
        <v>28.961630327038851</v>
      </c>
      <c r="M48" s="13">
        <f>('TUSD BE'!$M$48+'TUSD BF'!$M$48+'TUSD CVA'!$M$48)*1</f>
        <v>1.5265015932175889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90.112615581118007</v>
      </c>
      <c r="R48" s="13">
        <f>('TUSD BE'!$R$48+'TUSD BF'!$R$48+'TUSD CVA'!$R$48)*1</f>
        <v>14.226372618008231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122.57636388328396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197.00795012840013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30.880819506861336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28.698231986933099</v>
      </c>
      <c r="AJ48" s="13">
        <v>1.5632652097234301</v>
      </c>
      <c r="AK48" s="13">
        <v>0</v>
      </c>
      <c r="AL48" s="13">
        <v>0</v>
      </c>
      <c r="AM48" s="13">
        <v>0</v>
      </c>
      <c r="AN48" s="13">
        <v>56.639069329199003</v>
      </c>
      <c r="AO48" s="13">
        <v>8.8676059326559695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101.003269740555</v>
      </c>
      <c r="AV48" s="13">
        <v>0</v>
      </c>
      <c r="AW48" s="13">
        <v>0</v>
      </c>
      <c r="AX48" s="13">
        <v>239.56729364780401</v>
      </c>
      <c r="AY48" s="13">
        <v>0</v>
      </c>
      <c r="AZ48" s="13">
        <v>0</v>
      </c>
      <c r="BA48" s="13">
        <v>25.935145281259299</v>
      </c>
      <c r="BB48" s="13">
        <v>0</v>
      </c>
      <c r="BC48" s="13">
        <v>0</v>
      </c>
      <c r="BD48" s="13">
        <v>0</v>
      </c>
    </row>
    <row r="49" spans="1:56" ht="11.25" customHeight="1" x14ac:dyDescent="0.3">
      <c r="A49" s="96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('TUSD BE'!$L$49+'TUSD BF'!$L$49+'TUSD CVA'!$L$49)*1</f>
        <v>28.961630327038851</v>
      </c>
      <c r="M49" s="13">
        <f>('TUSD BE'!$M$49+'TUSD BF'!$M$49+'TUSD CVA'!$M$49)*1</f>
        <v>1.5265015932175889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90.112615581118007</v>
      </c>
      <c r="R49" s="13">
        <f>('TUSD BE'!$R$49+'TUSD BF'!$R$49+'TUSD CVA'!$R$49)*1</f>
        <v>14.226372618008231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122.57636388328396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197.00795012840013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30.880819506861336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28.698231986933099</v>
      </c>
      <c r="AJ49" s="13">
        <v>1.5632652097234301</v>
      </c>
      <c r="AK49" s="13">
        <v>0</v>
      </c>
      <c r="AL49" s="13">
        <v>0</v>
      </c>
      <c r="AM49" s="13">
        <v>0</v>
      </c>
      <c r="AN49" s="13">
        <v>56.639069329199003</v>
      </c>
      <c r="AO49" s="13">
        <v>8.8676059326559695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101.003269740555</v>
      </c>
      <c r="AV49" s="13">
        <v>0</v>
      </c>
      <c r="AW49" s="13">
        <v>0</v>
      </c>
      <c r="AX49" s="13">
        <v>239.56729364780401</v>
      </c>
      <c r="AY49" s="13">
        <v>0</v>
      </c>
      <c r="AZ49" s="13">
        <v>0</v>
      </c>
      <c r="BA49" s="13">
        <v>25.935145281259299</v>
      </c>
      <c r="BB49" s="13">
        <v>0</v>
      </c>
      <c r="BC49" s="13">
        <v>0</v>
      </c>
      <c r="BD49" s="13">
        <v>0</v>
      </c>
    </row>
    <row r="50" spans="1:56" ht="11.25" customHeight="1" x14ac:dyDescent="0.3">
      <c r="A50" s="96" t="s">
        <v>44</v>
      </c>
      <c r="B50" s="96" t="s">
        <v>23</v>
      </c>
      <c r="C50" s="96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546.72599999999989</v>
      </c>
      <c r="J50" s="15"/>
      <c r="L50" s="13">
        <f>('TUSD BE'!$L$50+'TUSD BF'!$L$50+'TUSD CVA'!$L$50)*1</f>
        <v>15.928896679871368</v>
      </c>
      <c r="M50" s="13">
        <f>('TUSD BE'!$M$50+'TUSD BF'!$M$50+'TUSD CVA'!$M$50)*1</f>
        <v>0.83957587626967412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49.561938569614902</v>
      </c>
      <c r="R50" s="13">
        <f>('TUSD BE'!$R$50+'TUSD BF'!$R$50+'TUSD CVA'!$R$50)*1</f>
        <v>7.8245049399045277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67.417000135806177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108.35437257062007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16.984450728773741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15.784027592813199</v>
      </c>
      <c r="AJ50" s="13">
        <v>0.85979586534788899</v>
      </c>
      <c r="AK50" s="13">
        <v>0</v>
      </c>
      <c r="AL50" s="13">
        <v>0</v>
      </c>
      <c r="AM50" s="13">
        <v>0</v>
      </c>
      <c r="AN50" s="13">
        <v>31.151488131059399</v>
      </c>
      <c r="AO50" s="13">
        <v>4.8771832629607799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55.551798357305003</v>
      </c>
      <c r="AV50" s="13">
        <v>0</v>
      </c>
      <c r="AW50" s="13">
        <v>0</v>
      </c>
      <c r="AX50" s="13">
        <v>131.762011506292</v>
      </c>
      <c r="AY50" s="13">
        <v>0</v>
      </c>
      <c r="AZ50" s="13">
        <v>0</v>
      </c>
      <c r="BA50" s="13">
        <v>14.2643299046926</v>
      </c>
      <c r="BB50" s="13">
        <v>0</v>
      </c>
      <c r="BC50" s="13">
        <v>0</v>
      </c>
      <c r="BD50" s="13">
        <v>0</v>
      </c>
    </row>
    <row r="51" spans="1:56" ht="11.25" customHeight="1" x14ac:dyDescent="0.3">
      <c r="A51" s="96"/>
      <c r="B51" s="96"/>
      <c r="C51" s="96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('TUSD BE'!$L$51+'TUSD BF'!$L$51+'TUSD CVA'!$L$51)*1</f>
        <v>17.376978196223309</v>
      </c>
      <c r="M51" s="13">
        <f>('TUSD BE'!$M$51+'TUSD BF'!$M$51+'TUSD CVA'!$M$51)*1</f>
        <v>0.91590095593055332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54.067569348670801</v>
      </c>
      <c r="R51" s="13">
        <f>('TUSD BE'!$R$51+'TUSD BF'!$R$51+'TUSD CVA'!$R$51)*1</f>
        <v>8.5358235708049381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73.545818329970373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118.20477007704007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18.528491704116803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17.218939192159901</v>
      </c>
      <c r="AJ51" s="13">
        <v>0.93795912583406105</v>
      </c>
      <c r="AK51" s="13">
        <v>0</v>
      </c>
      <c r="AL51" s="13">
        <v>0</v>
      </c>
      <c r="AM51" s="13">
        <v>0</v>
      </c>
      <c r="AN51" s="13">
        <v>33.983441597519402</v>
      </c>
      <c r="AO51" s="13">
        <v>5.3205635595935803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60.601961844332799</v>
      </c>
      <c r="AV51" s="13">
        <v>0</v>
      </c>
      <c r="AW51" s="13">
        <v>0</v>
      </c>
      <c r="AX51" s="13">
        <v>143.74037618868201</v>
      </c>
      <c r="AY51" s="13">
        <v>0</v>
      </c>
      <c r="AZ51" s="13">
        <v>0</v>
      </c>
      <c r="BA51" s="13">
        <v>15.5610871687556</v>
      </c>
      <c r="BB51" s="13">
        <v>0</v>
      </c>
      <c r="BC51" s="13">
        <v>0</v>
      </c>
      <c r="BD51" s="13">
        <v>0</v>
      </c>
    </row>
    <row r="53" spans="1:56" ht="11.25" customHeight="1" x14ac:dyDescent="0.3">
      <c r="L53" s="98" t="s">
        <v>697</v>
      </c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I53" s="98" t="s">
        <v>698</v>
      </c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</row>
    <row r="54" spans="1:56" ht="11.25" customHeight="1" x14ac:dyDescent="0.3">
      <c r="L54" s="98" t="s">
        <v>395</v>
      </c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I54" s="98" t="s">
        <v>395</v>
      </c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</row>
    <row r="55" spans="1:56" ht="11.25" customHeight="1" x14ac:dyDescent="0.3">
      <c r="L55" s="98" t="s">
        <v>396</v>
      </c>
      <c r="M55" s="98"/>
      <c r="N55" s="98"/>
      <c r="O55" s="98"/>
      <c r="P55" s="98"/>
      <c r="Q55" s="98"/>
      <c r="R55" s="98"/>
      <c r="S55" s="98"/>
      <c r="T55" s="98" t="s">
        <v>405</v>
      </c>
      <c r="U55" s="98"/>
      <c r="V55" s="98"/>
      <c r="W55" s="98"/>
      <c r="X55" s="98"/>
      <c r="Y55" s="98"/>
      <c r="Z55" s="98"/>
      <c r="AA55" s="10" t="s">
        <v>413</v>
      </c>
      <c r="AB55" s="98" t="s">
        <v>415</v>
      </c>
      <c r="AC55" s="98"/>
      <c r="AD55" s="98" t="s">
        <v>418</v>
      </c>
      <c r="AE55" s="98"/>
      <c r="AF55" s="98"/>
      <c r="AG55" s="98"/>
      <c r="AI55" s="98" t="s">
        <v>396</v>
      </c>
      <c r="AJ55" s="98"/>
      <c r="AK55" s="98"/>
      <c r="AL55" s="98"/>
      <c r="AM55" s="98"/>
      <c r="AN55" s="98"/>
      <c r="AO55" s="98"/>
      <c r="AP55" s="98"/>
      <c r="AQ55" s="98" t="s">
        <v>405</v>
      </c>
      <c r="AR55" s="98"/>
      <c r="AS55" s="98"/>
      <c r="AT55" s="98"/>
      <c r="AU55" s="98"/>
      <c r="AV55" s="98"/>
      <c r="AW55" s="98"/>
      <c r="AX55" s="10" t="s">
        <v>413</v>
      </c>
      <c r="AY55" s="98" t="s">
        <v>415</v>
      </c>
      <c r="AZ55" s="98"/>
      <c r="BA55" s="98" t="s">
        <v>418</v>
      </c>
      <c r="BB55" s="98"/>
      <c r="BC55" s="98"/>
      <c r="BD55" s="98"/>
    </row>
    <row r="56" spans="1:56" ht="11.25" customHeight="1" x14ac:dyDescent="0.3">
      <c r="L56" s="10" t="s">
        <v>481</v>
      </c>
      <c r="M56" s="10" t="s">
        <v>397</v>
      </c>
      <c r="N56" s="10" t="s">
        <v>398</v>
      </c>
      <c r="O56" s="10" t="s">
        <v>399</v>
      </c>
      <c r="P56" s="10" t="s">
        <v>400</v>
      </c>
      <c r="Q56" s="10" t="s">
        <v>401</v>
      </c>
      <c r="R56" s="10" t="s">
        <v>402</v>
      </c>
      <c r="S56" s="10" t="s">
        <v>403</v>
      </c>
      <c r="T56" s="10" t="s">
        <v>406</v>
      </c>
      <c r="U56" s="10" t="s">
        <v>407</v>
      </c>
      <c r="V56" s="10" t="s">
        <v>408</v>
      </c>
      <c r="W56" s="10" t="s">
        <v>409</v>
      </c>
      <c r="X56" s="10" t="s">
        <v>410</v>
      </c>
      <c r="Y56" s="10" t="s">
        <v>411</v>
      </c>
      <c r="Z56" s="10" t="s">
        <v>412</v>
      </c>
      <c r="AA56" s="10" t="s">
        <v>414</v>
      </c>
      <c r="AB56" s="10" t="s">
        <v>416</v>
      </c>
      <c r="AC56" s="10" t="s">
        <v>417</v>
      </c>
      <c r="AD56" s="10" t="s">
        <v>419</v>
      </c>
      <c r="AE56" s="10" t="s">
        <v>420</v>
      </c>
      <c r="AF56" s="10" t="s">
        <v>421</v>
      </c>
      <c r="AG56" s="10" t="s">
        <v>422</v>
      </c>
      <c r="AI56" s="10" t="s">
        <v>481</v>
      </c>
      <c r="AJ56" s="10" t="s">
        <v>397</v>
      </c>
      <c r="AK56" s="10" t="s">
        <v>398</v>
      </c>
      <c r="AL56" s="10" t="s">
        <v>399</v>
      </c>
      <c r="AM56" s="10" t="s">
        <v>400</v>
      </c>
      <c r="AN56" s="10" t="s">
        <v>401</v>
      </c>
      <c r="AO56" s="10" t="s">
        <v>402</v>
      </c>
      <c r="AP56" s="10" t="s">
        <v>403</v>
      </c>
      <c r="AQ56" s="10" t="s">
        <v>406</v>
      </c>
      <c r="AR56" s="10" t="s">
        <v>407</v>
      </c>
      <c r="AS56" s="10" t="s">
        <v>408</v>
      </c>
      <c r="AT56" s="10" t="s">
        <v>409</v>
      </c>
      <c r="AU56" s="10" t="s">
        <v>410</v>
      </c>
      <c r="AV56" s="10" t="s">
        <v>411</v>
      </c>
      <c r="AW56" s="10" t="s">
        <v>412</v>
      </c>
      <c r="AX56" s="10" t="s">
        <v>414</v>
      </c>
      <c r="AY56" s="10" t="s">
        <v>416</v>
      </c>
      <c r="AZ56" s="10" t="s">
        <v>417</v>
      </c>
      <c r="BA56" s="10" t="s">
        <v>419</v>
      </c>
      <c r="BB56" s="10" t="s">
        <v>420</v>
      </c>
      <c r="BC56" s="10" t="s">
        <v>421</v>
      </c>
      <c r="BD56" s="10" t="s">
        <v>422</v>
      </c>
    </row>
    <row r="57" spans="1:56" ht="11.25" customHeight="1" x14ac:dyDescent="0.3">
      <c r="A57" s="9" t="s">
        <v>38</v>
      </c>
      <c r="B57" s="9" t="s">
        <v>699</v>
      </c>
      <c r="C57" s="9" t="s">
        <v>700</v>
      </c>
      <c r="D57" s="9" t="s">
        <v>701</v>
      </c>
      <c r="E57" s="9" t="s">
        <v>702</v>
      </c>
      <c r="F57" s="9" t="s">
        <v>703</v>
      </c>
      <c r="G57" s="9" t="s">
        <v>704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3">
      <c r="A58" s="9" t="s">
        <v>38</v>
      </c>
      <c r="B58" s="9" t="s">
        <v>699</v>
      </c>
      <c r="C58" s="9" t="s">
        <v>700</v>
      </c>
      <c r="D58" s="9" t="s">
        <v>701</v>
      </c>
      <c r="E58" s="9" t="s">
        <v>702</v>
      </c>
      <c r="F58" s="9" t="s">
        <v>703</v>
      </c>
      <c r="G58" s="9" t="s">
        <v>705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3">
      <c r="A59" s="9" t="s">
        <v>38</v>
      </c>
      <c r="B59" s="9" t="s">
        <v>699</v>
      </c>
      <c r="C59" s="9" t="s">
        <v>700</v>
      </c>
      <c r="D59" s="9" t="s">
        <v>701</v>
      </c>
      <c r="E59" s="9" t="s">
        <v>702</v>
      </c>
      <c r="F59" s="9" t="s">
        <v>703</v>
      </c>
      <c r="G59" s="9" t="s">
        <v>706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3">
      <c r="A60" s="9" t="s">
        <v>38</v>
      </c>
      <c r="B60" s="9" t="s">
        <v>699</v>
      </c>
      <c r="C60" s="9" t="s">
        <v>700</v>
      </c>
      <c r="D60" s="9" t="s">
        <v>701</v>
      </c>
      <c r="E60" s="9" t="s">
        <v>707</v>
      </c>
      <c r="F60" s="9" t="s">
        <v>708</v>
      </c>
      <c r="G60" s="9" t="s">
        <v>709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3">
      <c r="A61" s="9" t="s">
        <v>38</v>
      </c>
      <c r="B61" s="9" t="s">
        <v>710</v>
      </c>
      <c r="C61" s="9" t="s">
        <v>711</v>
      </c>
      <c r="D61" s="9" t="s">
        <v>712</v>
      </c>
      <c r="E61" s="9" t="s">
        <v>713</v>
      </c>
      <c r="F61" s="9" t="s">
        <v>714</v>
      </c>
      <c r="G61" s="9" t="s">
        <v>715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3">
      <c r="A62" s="9" t="s">
        <v>38</v>
      </c>
      <c r="B62" s="9" t="s">
        <v>716</v>
      </c>
      <c r="C62" s="9" t="s">
        <v>717</v>
      </c>
      <c r="D62" s="9" t="s">
        <v>718</v>
      </c>
      <c r="E62" s="9" t="s">
        <v>719</v>
      </c>
      <c r="F62" s="9" t="s">
        <v>720</v>
      </c>
      <c r="G62" s="9" t="s">
        <v>721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548923.1310083837</v>
      </c>
      <c r="Y62" s="13">
        <f>$I$10*$Y$10</f>
        <v>0</v>
      </c>
      <c r="Z62" s="13">
        <f>$I$10*$Z$10</f>
        <v>0</v>
      </c>
      <c r="AA62" s="13">
        <f>$I$10*$AA$10</f>
        <v>597383.4039242029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454689.34513996658</v>
      </c>
      <c r="AV62" s="13">
        <f>$I$10*$AV$10</f>
        <v>0</v>
      </c>
      <c r="AW62" s="13">
        <f>$I$10*$AW$10</f>
        <v>0</v>
      </c>
      <c r="AX62" s="13">
        <f>$I$10*$AX$10</f>
        <v>607150.02908991696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3">
      <c r="A63" s="9" t="s">
        <v>38</v>
      </c>
      <c r="B63" s="9" t="s">
        <v>716</v>
      </c>
      <c r="C63" s="9" t="s">
        <v>717</v>
      </c>
      <c r="D63" s="9" t="s">
        <v>718</v>
      </c>
      <c r="E63" s="9" t="s">
        <v>719</v>
      </c>
      <c r="F63" s="9" t="s">
        <v>720</v>
      </c>
      <c r="G63" s="9" t="s">
        <v>722</v>
      </c>
      <c r="L63" s="13">
        <f>$I$11*$L$11</f>
        <v>31172.509055270402</v>
      </c>
      <c r="M63" s="13">
        <f>$I$11*$M$11</f>
        <v>1889.7981005989814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96991.650451872483</v>
      </c>
      <c r="R63" s="13">
        <f>$I$11*$R$11</f>
        <v>18229.033685947932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1043175.785993027</v>
      </c>
      <c r="Y63" s="13">
        <f>$I$11*$Y$11</f>
        <v>0</v>
      </c>
      <c r="Z63" s="13">
        <f>$I$11*$Z$11</f>
        <v>0</v>
      </c>
      <c r="AA63" s="13">
        <f>$I$11*$AA$11</f>
        <v>2044492.6754364476</v>
      </c>
      <c r="AB63" s="13">
        <f ca="1">$I$11*$AB$11</f>
        <v>0</v>
      </c>
      <c r="AC63" s="13">
        <f ca="1">$I$11*$AC$11</f>
        <v>0</v>
      </c>
      <c r="AD63" s="13">
        <f>$I$11*$AD$11</f>
        <v>13913.577565985708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31992.182051426498</v>
      </c>
      <c r="AJ63" s="13">
        <f>$I$11*$AJ$11</f>
        <v>1606.9554965691666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63140.036571874691</v>
      </c>
      <c r="AO63" s="13">
        <f>$I$11*$AO$11</f>
        <v>11362.551199838388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864093.51001059299</v>
      </c>
      <c r="AV63" s="13">
        <f>$I$11*$AV$11</f>
        <v>0</v>
      </c>
      <c r="AW63" s="13">
        <f>$I$11*$AW$11</f>
        <v>0</v>
      </c>
      <c r="AX63" s="13">
        <f>$I$11*$AX$11</f>
        <v>2077918.0995172984</v>
      </c>
      <c r="AY63" s="13">
        <f>$I$11*$AY$11</f>
        <v>0</v>
      </c>
      <c r="AZ63" s="13">
        <f>$I$11*$AZ$11</f>
        <v>0</v>
      </c>
      <c r="BA63" s="13">
        <f>$I$11*$BA$11</f>
        <v>11685.257128962168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3">
      <c r="A64" s="9" t="s">
        <v>38</v>
      </c>
      <c r="B64" s="9" t="s">
        <v>716</v>
      </c>
      <c r="C64" s="9" t="s">
        <v>717</v>
      </c>
      <c r="D64" s="9" t="s">
        <v>718</v>
      </c>
      <c r="E64" s="9" t="s">
        <v>719</v>
      </c>
      <c r="F64" s="9" t="s">
        <v>720</v>
      </c>
      <c r="G64" s="9" t="s">
        <v>723</v>
      </c>
      <c r="L64" s="13">
        <f>$I$12*$L$12</f>
        <v>306492.50359969656</v>
      </c>
      <c r="M64" s="13">
        <f>$I$12*$M$12</f>
        <v>18580.761340820107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953635.58071482845</v>
      </c>
      <c r="R64" s="13">
        <f>$I$12*$R$12</f>
        <v>179230.42905218984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136800.25610599798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314551.64405193011</v>
      </c>
      <c r="AJ64" s="13">
        <f>$I$12*$AJ$12</f>
        <v>15799.812984046792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620801.74078956281</v>
      </c>
      <c r="AO64" s="13">
        <f>$I$12*$AO$12</f>
        <v>111718.20524114672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114891.09543000661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3">
      <c r="A65" s="9" t="s">
        <v>38</v>
      </c>
      <c r="B65" s="9" t="s">
        <v>716</v>
      </c>
      <c r="C65" s="9" t="s">
        <v>717</v>
      </c>
      <c r="D65" s="9" t="s">
        <v>718</v>
      </c>
      <c r="E65" s="9" t="s">
        <v>724</v>
      </c>
      <c r="F65" s="9" t="s">
        <v>725</v>
      </c>
      <c r="G65" s="9" t="s">
        <v>726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3">
      <c r="A66" s="9" t="s">
        <v>38</v>
      </c>
      <c r="B66" s="9" t="s">
        <v>716</v>
      </c>
      <c r="C66" s="9" t="s">
        <v>717</v>
      </c>
      <c r="D66" s="9" t="s">
        <v>718</v>
      </c>
      <c r="E66" s="9" t="s">
        <v>724</v>
      </c>
      <c r="F66" s="9" t="s">
        <v>725</v>
      </c>
      <c r="G66" s="9" t="s">
        <v>727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3">
      <c r="A67" s="9" t="s">
        <v>79</v>
      </c>
      <c r="B67" s="9" t="s">
        <v>728</v>
      </c>
      <c r="C67" s="9" t="s">
        <v>729</v>
      </c>
      <c r="D67" s="9" t="s">
        <v>730</v>
      </c>
      <c r="E67" s="9" t="s">
        <v>731</v>
      </c>
      <c r="F67" s="9" t="s">
        <v>732</v>
      </c>
      <c r="G67" s="9" t="s">
        <v>733</v>
      </c>
      <c r="L67" s="13">
        <f>$I$15*$L$15</f>
        <v>0</v>
      </c>
      <c r="M67" s="13">
        <f>$I$15*$M$15</f>
        <v>5.2230912379888247E-11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2.5054519430876036E-8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4.7169144409421801E-11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3.04670434860418E-8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3">
      <c r="A68" s="9" t="s">
        <v>79</v>
      </c>
      <c r="B68" s="9" t="s">
        <v>728</v>
      </c>
      <c r="C68" s="9" t="s">
        <v>729</v>
      </c>
      <c r="D68" s="9" t="s">
        <v>730</v>
      </c>
      <c r="E68" s="9" t="s">
        <v>734</v>
      </c>
      <c r="F68" s="9" t="s">
        <v>735</v>
      </c>
      <c r="G68" s="9" t="s">
        <v>736</v>
      </c>
      <c r="L68" s="13">
        <f>$I$16*$L$16</f>
        <v>0</v>
      </c>
      <c r="M68" s="13">
        <f>$I$16*$M$16</f>
        <v>5.2230912379888247E-11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1.3806935015811828E-7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4.7169144409421801E-11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1.6789598506254699E-7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3">
      <c r="A69" s="9" t="s">
        <v>22</v>
      </c>
      <c r="B69" s="9" t="s">
        <v>737</v>
      </c>
      <c r="C69" s="9" t="s">
        <v>738</v>
      </c>
      <c r="D69" s="9" t="s">
        <v>739</v>
      </c>
      <c r="E69" s="9" t="s">
        <v>740</v>
      </c>
      <c r="F69" s="9" t="s">
        <v>741</v>
      </c>
      <c r="G69" s="9" t="s">
        <v>742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3">
      <c r="A70" s="9" t="s">
        <v>22</v>
      </c>
      <c r="B70" s="9" t="s">
        <v>737</v>
      </c>
      <c r="C70" s="9" t="s">
        <v>738</v>
      </c>
      <c r="D70" s="9" t="s">
        <v>739</v>
      </c>
      <c r="E70" s="9" t="s">
        <v>740</v>
      </c>
      <c r="F70" s="9" t="s">
        <v>741</v>
      </c>
      <c r="G70" s="9" t="s">
        <v>743</v>
      </c>
      <c r="L70" s="13">
        <f>$I$18*$L$18</f>
        <v>5.6475179137725773</v>
      </c>
      <c r="M70" s="13">
        <f>$I$18*$M$18</f>
        <v>0.29766781067742992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17.571960038318014</v>
      </c>
      <c r="R70" s="13">
        <f>$I$18*$R$18</f>
        <v>2.7741426605116053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41.592521325556753</v>
      </c>
      <c r="Y70" s="13">
        <f>$I$18*$Y$18</f>
        <v>0</v>
      </c>
      <c r="Z70" s="13">
        <f>$I$18*$Z$18</f>
        <v>0</v>
      </c>
      <c r="AA70" s="13">
        <f>$I$18*$AA$18</f>
        <v>66.844809699773435</v>
      </c>
      <c r="AB70" s="13">
        <f ca="1">$I$18*$AB$18</f>
        <v>0</v>
      </c>
      <c r="AC70" s="13">
        <f ca="1">$I$18*$AC$18</f>
        <v>0</v>
      </c>
      <c r="AD70" s="13">
        <f>$I$18*$AD$18</f>
        <v>6.0217598038379618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5.5961552374519554</v>
      </c>
      <c r="AJ70" s="13">
        <f>$I$18*$AJ$18</f>
        <v>0.30483671589606892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11.044618519193808</v>
      </c>
      <c r="AO70" s="13">
        <f>$I$18*$AO$18</f>
        <v>1.7291831568679144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34.272339612485915</v>
      </c>
      <c r="AV70" s="13">
        <f>$I$18*$AV$18</f>
        <v>0</v>
      </c>
      <c r="AW70" s="13">
        <f>$I$18*$AW$18</f>
        <v>0</v>
      </c>
      <c r="AX70" s="13">
        <f>$I$18*$AX$18</f>
        <v>81.285192464492468</v>
      </c>
      <c r="AY70" s="13">
        <f>$I$18*$AY$18</f>
        <v>0</v>
      </c>
      <c r="AZ70" s="13">
        <f>$I$18*$AZ$18</f>
        <v>0</v>
      </c>
      <c r="BA70" s="13">
        <f>$I$18*$BA$18</f>
        <v>5.0573533298455642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3">
      <c r="A71" s="9" t="s">
        <v>22</v>
      </c>
      <c r="B71" s="9" t="s">
        <v>737</v>
      </c>
      <c r="C71" s="9" t="s">
        <v>738</v>
      </c>
      <c r="D71" s="9" t="s">
        <v>739</v>
      </c>
      <c r="E71" s="9" t="s">
        <v>740</v>
      </c>
      <c r="F71" s="9" t="s">
        <v>741</v>
      </c>
      <c r="G71" s="9" t="s">
        <v>744</v>
      </c>
      <c r="L71" s="13">
        <f>$I$19*$L$19</f>
        <v>14.799393097116853</v>
      </c>
      <c r="M71" s="13">
        <f>$I$19*$M$19</f>
        <v>0.78004231413418801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46.0475465619513</v>
      </c>
      <c r="R71" s="13">
        <f>$I$19*$R$19</f>
        <v>7.2696764078022058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36.33237830828692</v>
      </c>
      <c r="Y71" s="13">
        <f>$I$19*$Y$19</f>
        <v>0</v>
      </c>
      <c r="Z71" s="13">
        <f>$I$19*$Z$19</f>
        <v>0</v>
      </c>
      <c r="AA71" s="13">
        <f>$I$19*$AA$19</f>
        <v>58.389200246140085</v>
      </c>
      <c r="AB71" s="13">
        <f ca="1">$I$19*$AB$19</f>
        <v>0</v>
      </c>
      <c r="AC71" s="13">
        <f ca="1">$I$19*$AC$19</f>
        <v>0</v>
      </c>
      <c r="AD71" s="13">
        <f>$I$19*$AD$19</f>
        <v>15.780098768006143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14.664796545322814</v>
      </c>
      <c r="AJ71" s="13">
        <f>$I$19*$AJ$19</f>
        <v>0.79882852216867284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28.942564427220692</v>
      </c>
      <c r="AO71" s="13">
        <f>$I$19*$AO$19</f>
        <v>4.5313466315872004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29.937973764978548</v>
      </c>
      <c r="AV71" s="13">
        <f>$I$19*$AV$19</f>
        <v>0</v>
      </c>
      <c r="AW71" s="13">
        <f>$I$19*$AW$19</f>
        <v>0</v>
      </c>
      <c r="AX71" s="13">
        <f>$I$19*$AX$19</f>
        <v>71.002926824328398</v>
      </c>
      <c r="AY71" s="13">
        <f>$I$19*$AY$19</f>
        <v>0</v>
      </c>
      <c r="AZ71" s="13">
        <f>$I$19*$AZ$19</f>
        <v>0</v>
      </c>
      <c r="BA71" s="13">
        <f>$I$19*$BA$19</f>
        <v>13.252859238723502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3">
      <c r="A72" s="9" t="s">
        <v>22</v>
      </c>
      <c r="B72" s="9" t="s">
        <v>745</v>
      </c>
      <c r="C72" s="9" t="s">
        <v>746</v>
      </c>
      <c r="D72" s="9" t="s">
        <v>747</v>
      </c>
      <c r="E72" s="9" t="s">
        <v>748</v>
      </c>
      <c r="F72" s="9" t="s">
        <v>749</v>
      </c>
      <c r="G72" s="9" t="s">
        <v>750</v>
      </c>
      <c r="L72" s="13">
        <f>$I$20*$L$20</f>
        <v>153052.51413224076</v>
      </c>
      <c r="M72" s="13">
        <f>$I$20*$M$20</f>
        <v>8067.0495421212299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476214.98561998899</v>
      </c>
      <c r="R72" s="13">
        <f>$I$20*$R$20</f>
        <v>75181.613451346464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647775.02004125481</v>
      </c>
      <c r="Y72" s="13">
        <f>$I$20*$Y$20</f>
        <v>0</v>
      </c>
      <c r="Z72" s="13">
        <f>$I$20*$Z$20</f>
        <v>0</v>
      </c>
      <c r="AA72" s="13">
        <f>$I$20*$AA$20</f>
        <v>1041121.0187653017</v>
      </c>
      <c r="AB72" s="13">
        <f ca="1">$I$20*$AB$20</f>
        <v>0</v>
      </c>
      <c r="AC72" s="13">
        <f ca="1">$I$20*$AC$20</f>
        <v>0</v>
      </c>
      <c r="AD72" s="13">
        <f>$I$20*$AD$20</f>
        <v>163194.78601922735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151660.54214322582</v>
      </c>
      <c r="AJ72" s="13">
        <f>$I$20*$AJ$20</f>
        <v>8261.3329395430701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299318.50731659145</v>
      </c>
      <c r="AO72" s="13">
        <f>$I$20*$AO$20</f>
        <v>46862.32670609936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533768.44448347006</v>
      </c>
      <c r="AV72" s="13">
        <f>$I$20*$AV$20</f>
        <v>0</v>
      </c>
      <c r="AW72" s="13">
        <f>$I$20*$AW$20</f>
        <v>0</v>
      </c>
      <c r="AX72" s="13">
        <f>$I$20*$AX$20</f>
        <v>1266032.8918852722</v>
      </c>
      <c r="AY72" s="13">
        <f>$I$20*$AY$20</f>
        <v>0</v>
      </c>
      <c r="AZ72" s="13">
        <f>$I$20*$AZ$20</f>
        <v>0</v>
      </c>
      <c r="BA72" s="13">
        <f>$I$20*$BA$20</f>
        <v>137058.55453778617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3">
      <c r="A73" s="9" t="s">
        <v>22</v>
      </c>
      <c r="B73" s="9" t="s">
        <v>745</v>
      </c>
      <c r="C73" s="9" t="s">
        <v>746</v>
      </c>
      <c r="D73" s="9" t="s">
        <v>751</v>
      </c>
      <c r="E73" s="9" t="s">
        <v>752</v>
      </c>
      <c r="F73" s="9" t="s">
        <v>753</v>
      </c>
      <c r="G73" s="9" t="s">
        <v>754</v>
      </c>
      <c r="L73" s="13">
        <f>$I$21*$L$21</f>
        <v>0</v>
      </c>
      <c r="M73" s="13">
        <f>$I$21*$M$21</f>
        <v>28.752573409209216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2308.7993595599833</v>
      </c>
      <c r="Y73" s="13">
        <f>$I$21*$Y$21</f>
        <v>0</v>
      </c>
      <c r="Z73" s="13">
        <f>$I$21*$Z$21</f>
        <v>0</v>
      </c>
      <c r="AA73" s="13">
        <f>$I$21*$AA$21</f>
        <v>3710.7629454384933</v>
      </c>
      <c r="AB73" s="13">
        <f ca="1">$I$21*$AB$21</f>
        <v>0</v>
      </c>
      <c r="AC73" s="13">
        <f ca="1">$I$21*$AC$21</f>
        <v>0</v>
      </c>
      <c r="AD73" s="13">
        <f>$I$21*$AD$21</f>
        <v>581.65876390343738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29.445038184266718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1902.4571875251897</v>
      </c>
      <c r="AV73" s="13">
        <f>$I$21*$AV$21</f>
        <v>0</v>
      </c>
      <c r="AW73" s="13">
        <f>$I$21*$AW$21</f>
        <v>0</v>
      </c>
      <c r="AX73" s="13">
        <f>$I$21*$AX$21</f>
        <v>4512.3937162325774</v>
      </c>
      <c r="AY73" s="13">
        <f>$I$21*$AY$21</f>
        <v>0</v>
      </c>
      <c r="AZ73" s="13">
        <f>$I$21*$AZ$21</f>
        <v>0</v>
      </c>
      <c r="BA73" s="13">
        <f>$I$21*$BA$21</f>
        <v>488.50402245968797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3">
      <c r="A74" s="9" t="s">
        <v>22</v>
      </c>
      <c r="B74" s="9" t="s">
        <v>745</v>
      </c>
      <c r="C74" s="9" t="s">
        <v>746</v>
      </c>
      <c r="D74" s="9" t="s">
        <v>755</v>
      </c>
      <c r="E74" s="9" t="s">
        <v>756</v>
      </c>
      <c r="F74" s="9" t="s">
        <v>757</v>
      </c>
      <c r="G74" s="9" t="s">
        <v>758</v>
      </c>
      <c r="L74" s="13">
        <f>$I$22*$L$22</f>
        <v>0</v>
      </c>
      <c r="M74" s="13">
        <f>$I$22*$M$22</f>
        <v>97.871344348827066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7858.9590551039746</v>
      </c>
      <c r="Y74" s="13">
        <f>$I$22*$Y$22</f>
        <v>0</v>
      </c>
      <c r="Z74" s="13">
        <f>$I$22*$Z$22</f>
        <v>0</v>
      </c>
      <c r="AA74" s="13">
        <f>$I$22*$AA$22</f>
        <v>12631.125320892348</v>
      </c>
      <c r="AB74" s="13">
        <f ca="1">$I$22*$AB$22</f>
        <v>0</v>
      </c>
      <c r="AC74" s="13">
        <f ca="1">$I$22*$AC$22</f>
        <v>0</v>
      </c>
      <c r="AD74" s="13">
        <f>$I$22*$AD$22</f>
        <v>1979.917566518513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100.2284362683761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6475.8044387617147</v>
      </c>
      <c r="AV74" s="13">
        <f>$I$22*$AV$22</f>
        <v>0</v>
      </c>
      <c r="AW74" s="13">
        <f>$I$22*$AW$22</f>
        <v>0</v>
      </c>
      <c r="AX74" s="13">
        <f>$I$22*$AX$22</f>
        <v>15359.809118770183</v>
      </c>
      <c r="AY74" s="13">
        <f>$I$22*$AY$22</f>
        <v>0</v>
      </c>
      <c r="AZ74" s="13">
        <f>$I$22*$AZ$22</f>
        <v>0</v>
      </c>
      <c r="BA74" s="13">
        <f>$I$22*$BA$22</f>
        <v>1662.8266526788859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3">
      <c r="A75" s="9" t="s">
        <v>22</v>
      </c>
      <c r="B75" s="9" t="s">
        <v>745</v>
      </c>
      <c r="C75" s="9" t="s">
        <v>746</v>
      </c>
      <c r="D75" s="9" t="s">
        <v>759</v>
      </c>
      <c r="E75" s="9" t="s">
        <v>760</v>
      </c>
      <c r="F75" s="9" t="s">
        <v>761</v>
      </c>
      <c r="G75" s="9" t="s">
        <v>762</v>
      </c>
      <c r="L75" s="13">
        <f>$I$23*$L$23</f>
        <v>0</v>
      </c>
      <c r="M75" s="13">
        <f>$I$23*$M$23</f>
        <v>115.96130412941145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9311.5625129392211</v>
      </c>
      <c r="Y75" s="13">
        <f>$I$23*$Y$23</f>
        <v>0</v>
      </c>
      <c r="Z75" s="13">
        <f>$I$23*$Z$23</f>
        <v>0</v>
      </c>
      <c r="AA75" s="13">
        <f>$I$23*$AA$23</f>
        <v>14965.787734683967</v>
      </c>
      <c r="AB75" s="13">
        <f ca="1">$I$23*$AB$23</f>
        <v>0</v>
      </c>
      <c r="AC75" s="13">
        <f ca="1">$I$23*$AC$23</f>
        <v>0</v>
      </c>
      <c r="AD75" s="13">
        <f>$I$23*$AD$23</f>
        <v>2345.8738061665244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118.75406696272451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7672.7537871491313</v>
      </c>
      <c r="AV75" s="13">
        <f>$I$23*$AV$23</f>
        <v>0</v>
      </c>
      <c r="AW75" s="13">
        <f>$I$23*$AW$23</f>
        <v>0</v>
      </c>
      <c r="AX75" s="13">
        <f>$I$23*$AX$23</f>
        <v>18198.825288872926</v>
      </c>
      <c r="AY75" s="13">
        <f>$I$23*$AY$23</f>
        <v>0</v>
      </c>
      <c r="AZ75" s="13">
        <f>$I$23*$AZ$23</f>
        <v>0</v>
      </c>
      <c r="BA75" s="13">
        <f>$I$23*$BA$23</f>
        <v>1970.1736853489781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3">
      <c r="A76" s="9" t="s">
        <v>22</v>
      </c>
      <c r="B76" s="9" t="s">
        <v>745</v>
      </c>
      <c r="C76" s="9" t="s">
        <v>746</v>
      </c>
      <c r="D76" s="9" t="s">
        <v>763</v>
      </c>
      <c r="E76" s="9" t="s">
        <v>764</v>
      </c>
      <c r="F76" s="9" t="s">
        <v>765</v>
      </c>
      <c r="G76" s="9" t="s">
        <v>766</v>
      </c>
      <c r="L76" s="13">
        <f>$I$24*$L$24</f>
        <v>0</v>
      </c>
      <c r="M76" s="13">
        <f>$I$24*$M$24</f>
        <v>29.079855350795071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2335.0797319765597</v>
      </c>
      <c r="Y76" s="13">
        <f>$I$24*$Y$24</f>
        <v>0</v>
      </c>
      <c r="Z76" s="13">
        <f>$I$24*$Z$24</f>
        <v>0</v>
      </c>
      <c r="AA76" s="13">
        <f>$I$24*$AA$24</f>
        <v>3753.0014499460226</v>
      </c>
      <c r="AB76" s="13">
        <f ca="1">$I$24*$AB$24</f>
        <v>0</v>
      </c>
      <c r="AC76" s="13">
        <f ca="1">$I$24*$AC$24</f>
        <v>0</v>
      </c>
      <c r="AD76" s="13">
        <f>$I$24*$AD$24</f>
        <v>588.27961160570851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29.780202245231344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1924.1122885575728</v>
      </c>
      <c r="AV76" s="13">
        <f>$I$24*$AV$24</f>
        <v>0</v>
      </c>
      <c r="AW76" s="13">
        <f>$I$24*$AW$24</f>
        <v>0</v>
      </c>
      <c r="AX76" s="13">
        <f>$I$24*$AX$24</f>
        <v>4563.7569439906665</v>
      </c>
      <c r="AY76" s="13">
        <f>$I$24*$AY$24</f>
        <v>0</v>
      </c>
      <c r="AZ76" s="13">
        <f>$I$24*$AZ$24</f>
        <v>0</v>
      </c>
      <c r="BA76" s="13">
        <f>$I$24*$BA$24</f>
        <v>494.06451760798967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3">
      <c r="A77" s="9" t="s">
        <v>22</v>
      </c>
      <c r="B77" s="9" t="s">
        <v>767</v>
      </c>
      <c r="C77" s="9" t="s">
        <v>768</v>
      </c>
      <c r="D77" s="9" t="s">
        <v>769</v>
      </c>
      <c r="E77" s="9" t="s">
        <v>770</v>
      </c>
      <c r="F77" s="9" t="s">
        <v>771</v>
      </c>
      <c r="G77" s="9" t="s">
        <v>772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3">
      <c r="A78" s="9" t="s">
        <v>22</v>
      </c>
      <c r="B78" s="9" t="s">
        <v>767</v>
      </c>
      <c r="C78" s="9" t="s">
        <v>768</v>
      </c>
      <c r="D78" s="9" t="s">
        <v>773</v>
      </c>
      <c r="E78" s="9" t="s">
        <v>774</v>
      </c>
      <c r="F78" s="9" t="s">
        <v>775</v>
      </c>
      <c r="G78" s="9" t="s">
        <v>776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3">
      <c r="A79" s="9" t="s">
        <v>22</v>
      </c>
      <c r="B79" s="9" t="s">
        <v>767</v>
      </c>
      <c r="C79" s="9" t="s">
        <v>768</v>
      </c>
      <c r="D79" s="9" t="s">
        <v>777</v>
      </c>
      <c r="E79" s="9" t="s">
        <v>778</v>
      </c>
      <c r="F79" s="9" t="s">
        <v>779</v>
      </c>
      <c r="G79" s="9" t="s">
        <v>780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3">
      <c r="A80" s="9" t="s">
        <v>22</v>
      </c>
      <c r="B80" s="9" t="s">
        <v>767</v>
      </c>
      <c r="C80" s="9" t="s">
        <v>768</v>
      </c>
      <c r="D80" s="9" t="s">
        <v>781</v>
      </c>
      <c r="E80" s="9" t="s">
        <v>782</v>
      </c>
      <c r="F80" s="9" t="s">
        <v>783</v>
      </c>
      <c r="G80" s="9" t="s">
        <v>784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3">
      <c r="A81" s="9" t="s">
        <v>22</v>
      </c>
      <c r="B81" s="9" t="s">
        <v>767</v>
      </c>
      <c r="C81" s="9" t="s">
        <v>768</v>
      </c>
      <c r="D81" s="9" t="s">
        <v>785</v>
      </c>
      <c r="E81" s="9" t="s">
        <v>786</v>
      </c>
      <c r="F81" s="9" t="s">
        <v>787</v>
      </c>
      <c r="G81" s="9" t="s">
        <v>788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3">
      <c r="A82" s="9" t="s">
        <v>41</v>
      </c>
      <c r="B82" s="9" t="s">
        <v>789</v>
      </c>
      <c r="C82" s="9" t="s">
        <v>790</v>
      </c>
      <c r="D82" s="9" t="s">
        <v>791</v>
      </c>
      <c r="E82" s="9" t="s">
        <v>792</v>
      </c>
      <c r="F82" s="9" t="s">
        <v>793</v>
      </c>
      <c r="G82" s="9" t="s">
        <v>794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3">
      <c r="A83" s="9" t="s">
        <v>41</v>
      </c>
      <c r="B83" s="9" t="s">
        <v>789</v>
      </c>
      <c r="C83" s="9" t="s">
        <v>790</v>
      </c>
      <c r="D83" s="9" t="s">
        <v>791</v>
      </c>
      <c r="E83" s="9" t="s">
        <v>792</v>
      </c>
      <c r="F83" s="9" t="s">
        <v>793</v>
      </c>
      <c r="G83" s="9" t="s">
        <v>795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3">
      <c r="A84" s="9" t="s">
        <v>41</v>
      </c>
      <c r="B84" s="9" t="s">
        <v>789</v>
      </c>
      <c r="C84" s="9" t="s">
        <v>790</v>
      </c>
      <c r="D84" s="9" t="s">
        <v>791</v>
      </c>
      <c r="E84" s="9" t="s">
        <v>792</v>
      </c>
      <c r="F84" s="9" t="s">
        <v>793</v>
      </c>
      <c r="G84" s="9" t="s">
        <v>796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3">
      <c r="A85" s="9" t="s">
        <v>41</v>
      </c>
      <c r="B85" s="9" t="s">
        <v>797</v>
      </c>
      <c r="C85" s="9" t="s">
        <v>798</v>
      </c>
      <c r="D85" s="9" t="s">
        <v>799</v>
      </c>
      <c r="E85" s="9" t="s">
        <v>800</v>
      </c>
      <c r="F85" s="9" t="s">
        <v>801</v>
      </c>
      <c r="G85" s="9" t="s">
        <v>802</v>
      </c>
      <c r="L85" s="13">
        <f>$I$33*$L$33</f>
        <v>37677.024200491716</v>
      </c>
      <c r="M85" s="13">
        <f>$I$33*$M$33</f>
        <v>1985.870160632933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117230.11307307595</v>
      </c>
      <c r="R85" s="13">
        <f>$I$33*$R$33</f>
        <v>18507.500419045376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159463.14403878944</v>
      </c>
      <c r="Y85" s="13">
        <f>$I$33*$Y$33</f>
        <v>0</v>
      </c>
      <c r="Z85" s="13">
        <f>$I$33*$Z$33</f>
        <v>0</v>
      </c>
      <c r="AA85" s="13">
        <f>$I$33*$AA$33</f>
        <v>256293.35161243044</v>
      </c>
      <c r="AB85" s="13">
        <f ca="1">$I$33*$AB$33</f>
        <v>0</v>
      </c>
      <c r="AC85" s="13">
        <f ca="1">$I$33*$AC$33</f>
        <v>0</v>
      </c>
      <c r="AD85" s="13">
        <f>$I$33*$AD$33</f>
        <v>40173.75302262522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34951.31730486876</v>
      </c>
      <c r="AJ85" s="13">
        <f>$I$33*$AJ$33</f>
        <v>1903.8865670046719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68980.210518844702</v>
      </c>
      <c r="AO85" s="13">
        <f>$I$33*$AO$33</f>
        <v>10799.77710222407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123010.96914746307</v>
      </c>
      <c r="AV85" s="13">
        <f>$I$33*$AV$33</f>
        <v>0</v>
      </c>
      <c r="AW85" s="13">
        <f>$I$33*$AW$33</f>
        <v>0</v>
      </c>
      <c r="AX85" s="13">
        <f>$I$33*$AX$33</f>
        <v>291766.84124532522</v>
      </c>
      <c r="AY85" s="13">
        <f>$I$33*$AY$33</f>
        <v>0</v>
      </c>
      <c r="AZ85" s="13">
        <f>$I$33*$AZ$33</f>
        <v>0</v>
      </c>
      <c r="BA85" s="13">
        <f>$I$33*$BA$33</f>
        <v>31586.178984332382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3">
      <c r="A86" s="9" t="s">
        <v>41</v>
      </c>
      <c r="B86" s="9" t="s">
        <v>789</v>
      </c>
      <c r="C86" s="9" t="s">
        <v>790</v>
      </c>
      <c r="D86" s="9" t="s">
        <v>803</v>
      </c>
      <c r="E86" s="9" t="s">
        <v>804</v>
      </c>
      <c r="F86" s="9" t="s">
        <v>805</v>
      </c>
      <c r="G86" s="9" t="s">
        <v>806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3">
      <c r="A87" s="9" t="s">
        <v>41</v>
      </c>
      <c r="B87" s="9" t="s">
        <v>789</v>
      </c>
      <c r="C87" s="9" t="s">
        <v>790</v>
      </c>
      <c r="D87" s="9" t="s">
        <v>803</v>
      </c>
      <c r="E87" s="9" t="s">
        <v>804</v>
      </c>
      <c r="F87" s="9" t="s">
        <v>805</v>
      </c>
      <c r="G87" s="9" t="s">
        <v>807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3">
      <c r="A88" s="9" t="s">
        <v>41</v>
      </c>
      <c r="B88" s="9" t="s">
        <v>789</v>
      </c>
      <c r="C88" s="9" t="s">
        <v>790</v>
      </c>
      <c r="D88" s="9" t="s">
        <v>803</v>
      </c>
      <c r="E88" s="9" t="s">
        <v>804</v>
      </c>
      <c r="F88" s="9" t="s">
        <v>805</v>
      </c>
      <c r="G88" s="9" t="s">
        <v>808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3">
      <c r="A89" s="9" t="s">
        <v>41</v>
      </c>
      <c r="B89" s="9" t="s">
        <v>797</v>
      </c>
      <c r="C89" s="9" t="s">
        <v>798</v>
      </c>
      <c r="D89" s="9" t="s">
        <v>809</v>
      </c>
      <c r="E89" s="9" t="s">
        <v>810</v>
      </c>
      <c r="F89" s="9" t="s">
        <v>811</v>
      </c>
      <c r="G89" s="9" t="s">
        <v>812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3">
      <c r="A90" s="9" t="s">
        <v>41</v>
      </c>
      <c r="B90" s="9" t="s">
        <v>789</v>
      </c>
      <c r="C90" s="9" t="s">
        <v>790</v>
      </c>
      <c r="D90" s="9" t="s">
        <v>813</v>
      </c>
      <c r="E90" s="9" t="s">
        <v>814</v>
      </c>
      <c r="F90" s="9" t="s">
        <v>815</v>
      </c>
      <c r="G90" s="9" t="s">
        <v>816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3">
      <c r="A91" s="9" t="s">
        <v>41</v>
      </c>
      <c r="B91" s="9" t="s">
        <v>789</v>
      </c>
      <c r="C91" s="9" t="s">
        <v>790</v>
      </c>
      <c r="D91" s="9" t="s">
        <v>813</v>
      </c>
      <c r="E91" s="9" t="s">
        <v>814</v>
      </c>
      <c r="F91" s="9" t="s">
        <v>815</v>
      </c>
      <c r="G91" s="9" t="s">
        <v>817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3">
      <c r="A92" s="9" t="s">
        <v>41</v>
      </c>
      <c r="B92" s="9" t="s">
        <v>789</v>
      </c>
      <c r="C92" s="9" t="s">
        <v>790</v>
      </c>
      <c r="D92" s="9" t="s">
        <v>813</v>
      </c>
      <c r="E92" s="9" t="s">
        <v>814</v>
      </c>
      <c r="F92" s="9" t="s">
        <v>815</v>
      </c>
      <c r="G92" s="9" t="s">
        <v>818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3">
      <c r="A93" s="9" t="s">
        <v>41</v>
      </c>
      <c r="B93" s="9" t="s">
        <v>797</v>
      </c>
      <c r="C93" s="9" t="s">
        <v>798</v>
      </c>
      <c r="D93" s="9" t="s">
        <v>819</v>
      </c>
      <c r="E93" s="9" t="s">
        <v>820</v>
      </c>
      <c r="F93" s="9" t="s">
        <v>821</v>
      </c>
      <c r="G93" s="9" t="s">
        <v>822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3">
      <c r="A94" s="9" t="s">
        <v>41</v>
      </c>
      <c r="B94" s="9" t="s">
        <v>823</v>
      </c>
      <c r="C94" s="9" t="s">
        <v>824</v>
      </c>
      <c r="D94" s="9" t="s">
        <v>825</v>
      </c>
      <c r="E94" s="9" t="s">
        <v>826</v>
      </c>
      <c r="F94" s="9" t="s">
        <v>827</v>
      </c>
      <c r="G94" s="9" t="s">
        <v>828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3">
      <c r="A95" s="9" t="s">
        <v>41</v>
      </c>
      <c r="B95" s="9" t="s">
        <v>823</v>
      </c>
      <c r="C95" s="9" t="s">
        <v>824</v>
      </c>
      <c r="D95" s="9" t="s">
        <v>829</v>
      </c>
      <c r="E95" s="9" t="s">
        <v>830</v>
      </c>
      <c r="F95" s="9" t="s">
        <v>831</v>
      </c>
      <c r="G95" s="9" t="s">
        <v>832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3">
      <c r="A96" s="9" t="s">
        <v>41</v>
      </c>
      <c r="B96" s="9" t="s">
        <v>823</v>
      </c>
      <c r="C96" s="9" t="s">
        <v>824</v>
      </c>
      <c r="D96" s="9" t="s">
        <v>833</v>
      </c>
      <c r="E96" s="9" t="s">
        <v>834</v>
      </c>
      <c r="F96" s="9" t="s">
        <v>835</v>
      </c>
      <c r="G96" s="9" t="s">
        <v>836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3">
      <c r="A97" s="9" t="s">
        <v>36</v>
      </c>
      <c r="B97" s="9" t="s">
        <v>837</v>
      </c>
      <c r="C97" s="9" t="s">
        <v>838</v>
      </c>
      <c r="D97" s="9" t="s">
        <v>839</v>
      </c>
      <c r="E97" s="9" t="s">
        <v>840</v>
      </c>
      <c r="F97" s="9" t="s">
        <v>841</v>
      </c>
      <c r="G97" s="9" t="s">
        <v>842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3">
      <c r="A98" s="9" t="s">
        <v>36</v>
      </c>
      <c r="B98" s="9" t="s">
        <v>837</v>
      </c>
      <c r="C98" s="9" t="s">
        <v>838</v>
      </c>
      <c r="D98" s="9" t="s">
        <v>839</v>
      </c>
      <c r="E98" s="9" t="s">
        <v>840</v>
      </c>
      <c r="F98" s="9" t="s">
        <v>841</v>
      </c>
      <c r="G98" s="9" t="s">
        <v>843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3">
      <c r="A99" s="9" t="s">
        <v>36</v>
      </c>
      <c r="B99" s="9" t="s">
        <v>837</v>
      </c>
      <c r="C99" s="9" t="s">
        <v>838</v>
      </c>
      <c r="D99" s="9" t="s">
        <v>839</v>
      </c>
      <c r="E99" s="9" t="s">
        <v>840</v>
      </c>
      <c r="F99" s="9" t="s">
        <v>841</v>
      </c>
      <c r="G99" s="9" t="s">
        <v>844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3">
      <c r="A100" s="9" t="s">
        <v>36</v>
      </c>
      <c r="B100" s="9" t="s">
        <v>845</v>
      </c>
      <c r="C100" s="9" t="s">
        <v>846</v>
      </c>
      <c r="D100" s="9" t="s">
        <v>847</v>
      </c>
      <c r="E100" s="9" t="s">
        <v>848</v>
      </c>
      <c r="F100" s="9" t="s">
        <v>849</v>
      </c>
      <c r="G100" s="9" t="s">
        <v>850</v>
      </c>
      <c r="L100" s="13">
        <f>$I$48*$L$48</f>
        <v>18635.534803715113</v>
      </c>
      <c r="M100" s="13">
        <f>$I$48*$M$48</f>
        <v>982.23660916541689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57983.503171363867</v>
      </c>
      <c r="R100" s="13">
        <f>$I$48*$R$48</f>
        <v>9154.0448192931053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78872.496798882363</v>
      </c>
      <c r="Y100" s="13">
        <f>$I$48*$Y$48</f>
        <v>0</v>
      </c>
      <c r="Z100" s="13">
        <f>$I$48*$Z$48</f>
        <v>0</v>
      </c>
      <c r="AA100" s="13">
        <f>$I$48*$AA$48</f>
        <v>126765.94755781983</v>
      </c>
      <c r="AB100" s="13">
        <f ca="1">$I$48*$AB$48</f>
        <v>0</v>
      </c>
      <c r="AC100" s="13">
        <f ca="1">$I$48*$AC$48</f>
        <v>0</v>
      </c>
      <c r="AD100" s="13">
        <f>$I$48*$AD$48</f>
        <v>19870.44859660697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18466.049561384025</v>
      </c>
      <c r="AJ100" s="13">
        <f>$I$48*$AJ$48</f>
        <v>1005.8923787877994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36444.748994289075</v>
      </c>
      <c r="AO100" s="13">
        <f>$I$48*$AO$48</f>
        <v>5705.9142430030797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64991.159934178562</v>
      </c>
      <c r="AV100" s="13">
        <f>$I$48*$AV$48</f>
        <v>0</v>
      </c>
      <c r="AW100" s="13">
        <f>$I$48*$AW$48</f>
        <v>0</v>
      </c>
      <c r="AX100" s="13">
        <f>$I$48*$AX$48</f>
        <v>154151.01250144138</v>
      </c>
      <c r="AY100" s="13">
        <f>$I$48*$AY$48</f>
        <v>0</v>
      </c>
      <c r="AZ100" s="13">
        <f>$I$48*$AZ$48</f>
        <v>0</v>
      </c>
      <c r="BA100" s="13">
        <f>$I$48*$BA$48</f>
        <v>16688.124842097983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3">
      <c r="A101" s="9" t="s">
        <v>36</v>
      </c>
      <c r="B101" s="9" t="s">
        <v>851</v>
      </c>
      <c r="C101" s="9" t="s">
        <v>852</v>
      </c>
      <c r="D101" s="9" t="s">
        <v>853</v>
      </c>
      <c r="E101" s="9" t="s">
        <v>854</v>
      </c>
      <c r="F101" s="9" t="s">
        <v>855</v>
      </c>
      <c r="G101" s="9" t="s">
        <v>856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3">
      <c r="A102" s="9" t="s">
        <v>44</v>
      </c>
      <c r="B102" s="9" t="s">
        <v>857</v>
      </c>
      <c r="C102" s="9" t="s">
        <v>858</v>
      </c>
      <c r="D102" s="9" t="s">
        <v>859</v>
      </c>
      <c r="E102" s="9" t="s">
        <v>860</v>
      </c>
      <c r="F102" s="9" t="s">
        <v>861</v>
      </c>
      <c r="G102" s="9" t="s">
        <v>862</v>
      </c>
      <c r="L102" s="13">
        <f>$I$50*$L$50</f>
        <v>8708.7419661993517</v>
      </c>
      <c r="M102" s="13">
        <f>$I$50*$M$50</f>
        <v>459.01796052941376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27096.800426411271</v>
      </c>
      <c r="R102" s="13">
        <f>$I$50*$R$50</f>
        <v>4277.8602877742414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36858.626816248761</v>
      </c>
      <c r="Y102" s="13">
        <f>$I$50*$Y$50</f>
        <v>0</v>
      </c>
      <c r="Z102" s="13">
        <f>$I$50*$Z$50</f>
        <v>0</v>
      </c>
      <c r="AA102" s="13">
        <f>$I$50*$AA$50</f>
        <v>59240.152698044818</v>
      </c>
      <c r="AB102" s="13">
        <f ca="1">$I$50*$AB$50</f>
        <v>0</v>
      </c>
      <c r="AC102" s="13">
        <f ca="1">$I$50*$AC$50</f>
        <v>0</v>
      </c>
      <c r="AD102" s="13">
        <f>$I$50*$AD$50</f>
        <v>9285.8408091395504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8629.5382697083878</v>
      </c>
      <c r="AJ102" s="13">
        <f>$I$50*$AJ$50</f>
        <v>470.07275427818985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17031.328499941577</v>
      </c>
      <c r="AO102" s="13">
        <f>$I$50*$AO$50</f>
        <v>2666.482896625495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30371.612508695929</v>
      </c>
      <c r="AV102" s="13">
        <f>$I$50*$AV$50</f>
        <v>0</v>
      </c>
      <c r="AW102" s="13">
        <f>$I$50*$AW$50</f>
        <v>0</v>
      </c>
      <c r="AX102" s="13">
        <f>$I$50*$AX$50</f>
        <v>72037.71750278899</v>
      </c>
      <c r="AY102" s="13">
        <f>$I$50*$AY$50</f>
        <v>0</v>
      </c>
      <c r="AZ102" s="13">
        <f>$I$50*$AZ$50</f>
        <v>0</v>
      </c>
      <c r="BA102" s="13">
        <f>$I$50*$BA$50</f>
        <v>7798.6800314729644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3">
      <c r="A103" s="9" t="s">
        <v>44</v>
      </c>
      <c r="B103" s="9" t="s">
        <v>857</v>
      </c>
      <c r="C103" s="9" t="s">
        <v>858</v>
      </c>
      <c r="D103" s="9" t="s">
        <v>863</v>
      </c>
      <c r="E103" s="9" t="s">
        <v>864</v>
      </c>
      <c r="F103" s="9" t="s">
        <v>865</v>
      </c>
      <c r="G103" s="9" t="s">
        <v>866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7EDB-0DC4-4780-8E78-785E50940F54}">
  <dimension ref="A1:AH85"/>
  <sheetViews>
    <sheetView showGridLines="0" topLeftCell="L27" workbookViewId="0">
      <selection activeCell="V43" sqref="V43"/>
    </sheetView>
  </sheetViews>
  <sheetFormatPr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77734375" style="9" bestFit="1" customWidth="1"/>
    <col min="5" max="5" width="65.77734375" style="9" bestFit="1" customWidth="1"/>
    <col min="6" max="6" width="74.88671875" style="9" bestFit="1" customWidth="1"/>
    <col min="7" max="7" width="75.88671875" style="9" bestFit="1" customWidth="1"/>
    <col min="8" max="8" width="7.109375" style="9" bestFit="1" customWidth="1"/>
    <col min="9" max="9" width="6.33203125" style="9" bestFit="1" customWidth="1"/>
    <col min="10" max="10" width="8.88671875" style="9"/>
    <col min="11" max="11" width="19.88671875" style="9" bestFit="1" customWidth="1"/>
    <col min="12" max="12" width="3.77734375" style="9" bestFit="1" customWidth="1"/>
    <col min="13" max="13" width="7" style="9" bestFit="1" customWidth="1"/>
    <col min="14" max="14" width="5.6640625" style="9" bestFit="1" customWidth="1"/>
    <col min="15" max="15" width="10.33203125" style="9" bestFit="1" customWidth="1"/>
    <col min="16" max="16" width="7.6640625" style="9" bestFit="1" customWidth="1"/>
    <col min="17" max="17" width="14.44140625" style="9" bestFit="1" customWidth="1"/>
    <col min="18" max="18" width="5.5546875" style="9" bestFit="1" customWidth="1"/>
    <col min="19" max="19" width="9.7773437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77734375" style="9" bestFit="1" customWidth="1"/>
    <col min="25" max="25" width="7" style="9" bestFit="1" customWidth="1"/>
    <col min="26" max="26" width="5.6640625" style="9" bestFit="1" customWidth="1"/>
    <col min="27" max="27" width="10.33203125" style="9" bestFit="1" customWidth="1"/>
    <col min="28" max="28" width="7.6640625" style="9" bestFit="1" customWidth="1"/>
    <col min="29" max="29" width="14.44140625" style="9" bestFit="1" customWidth="1"/>
    <col min="30" max="30" width="5.5546875" style="9" bestFit="1" customWidth="1"/>
    <col min="31" max="31" width="9.7773437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06" t="s">
        <v>58</v>
      </c>
      <c r="B1" s="106" t="s">
        <v>59</v>
      </c>
      <c r="C1" s="106" t="s">
        <v>60</v>
      </c>
      <c r="D1" s="106" t="s">
        <v>61</v>
      </c>
      <c r="E1" s="106" t="s">
        <v>62</v>
      </c>
      <c r="F1" s="106" t="s">
        <v>15</v>
      </c>
      <c r="G1" s="106" t="s">
        <v>64</v>
      </c>
      <c r="H1" s="106" t="s">
        <v>65</v>
      </c>
      <c r="I1" s="106" t="s">
        <v>496</v>
      </c>
      <c r="J1" s="94"/>
      <c r="L1" s="104" t="s">
        <v>867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X1" s="104" t="s">
        <v>868</v>
      </c>
      <c r="Y1" s="104"/>
      <c r="Z1" s="104"/>
      <c r="AA1" s="104"/>
      <c r="AB1" s="104"/>
      <c r="AC1" s="104"/>
      <c r="AD1" s="104"/>
      <c r="AE1" s="104"/>
      <c r="AF1" s="104"/>
      <c r="AG1" s="104"/>
      <c r="AH1" s="104"/>
    </row>
    <row r="2" spans="1:34" ht="11.25" customHeigh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94"/>
      <c r="L2" s="104" t="s">
        <v>423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X2" s="104" t="s">
        <v>423</v>
      </c>
      <c r="Y2" s="104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ht="11.25" customHeight="1" x14ac:dyDescent="0.3">
      <c r="A3" s="106"/>
      <c r="B3" s="106"/>
      <c r="C3" s="106"/>
      <c r="D3" s="106"/>
      <c r="E3" s="106"/>
      <c r="F3" s="106"/>
      <c r="G3" s="106"/>
      <c r="H3" s="106"/>
      <c r="I3" s="106"/>
      <c r="J3" s="94"/>
      <c r="L3" s="104" t="s">
        <v>396</v>
      </c>
      <c r="M3" s="104"/>
      <c r="N3" s="104"/>
      <c r="O3" s="104"/>
      <c r="P3" s="104"/>
      <c r="Q3" s="24" t="s">
        <v>427</v>
      </c>
      <c r="R3" s="104" t="s">
        <v>405</v>
      </c>
      <c r="S3" s="104"/>
      <c r="T3" s="104"/>
      <c r="U3" s="24" t="s">
        <v>415</v>
      </c>
      <c r="V3" s="24" t="s">
        <v>418</v>
      </c>
      <c r="X3" s="104" t="s">
        <v>396</v>
      </c>
      <c r="Y3" s="104"/>
      <c r="Z3" s="104"/>
      <c r="AA3" s="104"/>
      <c r="AB3" s="104"/>
      <c r="AC3" s="24" t="s">
        <v>427</v>
      </c>
      <c r="AD3" s="104" t="s">
        <v>405</v>
      </c>
      <c r="AE3" s="104"/>
      <c r="AF3" s="104"/>
      <c r="AG3" s="24" t="s">
        <v>415</v>
      </c>
      <c r="AH3" s="24" t="s">
        <v>418</v>
      </c>
    </row>
    <row r="4" spans="1:34" ht="11.25" customHeight="1" x14ac:dyDescent="0.3">
      <c r="A4" s="106"/>
      <c r="B4" s="106"/>
      <c r="C4" s="106"/>
      <c r="D4" s="106"/>
      <c r="E4" s="106"/>
      <c r="F4" s="106"/>
      <c r="G4" s="106"/>
      <c r="H4" s="106"/>
      <c r="I4" s="106"/>
      <c r="J4" s="94"/>
      <c r="L4" s="24" t="s">
        <v>398</v>
      </c>
      <c r="M4" s="24" t="s">
        <v>424</v>
      </c>
      <c r="N4" s="24" t="s">
        <v>425</v>
      </c>
      <c r="O4" s="24" t="s">
        <v>484</v>
      </c>
      <c r="P4" s="24" t="s">
        <v>426</v>
      </c>
      <c r="Q4" s="24" t="s">
        <v>428</v>
      </c>
      <c r="R4" s="24" t="s">
        <v>429</v>
      </c>
      <c r="S4" s="24" t="s">
        <v>430</v>
      </c>
      <c r="T4" s="24" t="s">
        <v>431</v>
      </c>
      <c r="U4" s="24" t="s">
        <v>416</v>
      </c>
      <c r="V4" s="24" t="s">
        <v>432</v>
      </c>
      <c r="X4" s="24" t="s">
        <v>398</v>
      </c>
      <c r="Y4" s="24" t="s">
        <v>424</v>
      </c>
      <c r="Z4" s="24" t="s">
        <v>425</v>
      </c>
      <c r="AA4" s="24" t="s">
        <v>484</v>
      </c>
      <c r="AB4" s="24" t="s">
        <v>426</v>
      </c>
      <c r="AC4" s="24" t="s">
        <v>428</v>
      </c>
      <c r="AD4" s="24" t="s">
        <v>429</v>
      </c>
      <c r="AE4" s="24" t="s">
        <v>430</v>
      </c>
      <c r="AF4" s="24" t="s">
        <v>431</v>
      </c>
      <c r="AG4" s="24" t="s">
        <v>416</v>
      </c>
      <c r="AH4" s="24" t="s">
        <v>432</v>
      </c>
    </row>
    <row r="5" spans="1:34" ht="11.25" customHeight="1" x14ac:dyDescent="0.3">
      <c r="A5" s="107" t="s">
        <v>38</v>
      </c>
      <c r="B5" s="107" t="s">
        <v>67</v>
      </c>
      <c r="C5" s="107" t="s">
        <v>25</v>
      </c>
      <c r="D5" s="107" t="s">
        <v>25</v>
      </c>
      <c r="E5" s="107" t="s">
        <v>25</v>
      </c>
      <c r="F5" s="107" t="s">
        <v>25</v>
      </c>
      <c r="G5" s="23" t="s">
        <v>69</v>
      </c>
      <c r="H5" s="23" t="s">
        <v>68</v>
      </c>
      <c r="I5" s="23">
        <f>'MERCADO TE'!$U$2</f>
        <v>257.68899999999996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269.20939423802389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221.59657575681001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3">
      <c r="A6" s="107"/>
      <c r="B6" s="107"/>
      <c r="C6" s="107"/>
      <c r="D6" s="107"/>
      <c r="E6" s="107"/>
      <c r="F6" s="107"/>
      <c r="G6" s="23" t="s">
        <v>70</v>
      </c>
      <c r="H6" s="23" t="s">
        <v>68</v>
      </c>
      <c r="I6" s="23">
        <f>'MERCADO TE'!$U$3</f>
        <v>2720.0279999999998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269.20939423802389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221.59657575681001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3">
      <c r="A7" s="107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269.20939423802389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3">
      <c r="A8" s="107" t="s">
        <v>22</v>
      </c>
      <c r="B8" s="107" t="s">
        <v>67</v>
      </c>
      <c r="C8" s="107" t="s">
        <v>24</v>
      </c>
      <c r="D8" s="107" t="s">
        <v>24</v>
      </c>
      <c r="E8" s="107" t="s">
        <v>25</v>
      </c>
      <c r="F8" s="107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269.20939423802389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221.59657575681001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3">
      <c r="A9" s="107"/>
      <c r="B9" s="107"/>
      <c r="C9" s="107"/>
      <c r="D9" s="107"/>
      <c r="E9" s="107"/>
      <c r="F9" s="107"/>
      <c r="G9" s="23" t="s">
        <v>82</v>
      </c>
      <c r="H9" s="23" t="s">
        <v>68</v>
      </c>
      <c r="I9" s="23">
        <f>'MERCADO TE'!$U$6</f>
        <v>0.19500000000000003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269.20939423802389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221.59657575681001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3">
      <c r="A10" s="107"/>
      <c r="B10" s="107"/>
      <c r="C10" s="107"/>
      <c r="D10" s="107"/>
      <c r="E10" s="107"/>
      <c r="F10" s="107"/>
      <c r="G10" s="23" t="s">
        <v>70</v>
      </c>
      <c r="H10" s="23" t="s">
        <v>68</v>
      </c>
      <c r="I10" s="23">
        <f>'MERCADO TE'!$U$7</f>
        <v>0.51100000000000001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269.20939423802389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221.59657575681001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3">
      <c r="A11" s="107"/>
      <c r="B11" s="107" t="s">
        <v>71</v>
      </c>
      <c r="C11" s="107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5284.665</v>
      </c>
      <c r="J11" s="15"/>
      <c r="L11" s="20">
        <f>('TE BE'!$L$11+'TE BF'!$L$11+'TE CVA'!$L$11)*1</f>
        <v>0</v>
      </c>
      <c r="M11" s="20">
        <f>('TE BE'!$M$11+'TE BF'!$M$11+'TE CVA'!$M$11)*1</f>
        <v>0</v>
      </c>
      <c r="N11" s="20">
        <f>('TE BE'!$N$11+'TE BF'!$N$11+'TE CVA'!$N$11)*1</f>
        <v>0</v>
      </c>
      <c r="O11" s="20">
        <f>('TE BE'!$O$11+'TE BF'!$O$11+'TE CVA'!$O$11)*1</f>
        <v>0</v>
      </c>
      <c r="P11" s="20">
        <f>('TE BE'!$P$11+'TE BF'!$P$11+'TE CVA'!$P$11)*1</f>
        <v>0</v>
      </c>
      <c r="Q11" s="20">
        <f>('TE BE'!$R$11+'TE BF'!$R$11+'TE CVA'!$R$11)*1</f>
        <v>269.20939423802389</v>
      </c>
      <c r="R11" s="20">
        <f>('TE BE'!$T$11+'TE BF'!$T$11+'TE CVA'!$T$11)*1</f>
        <v>0</v>
      </c>
      <c r="S11" s="20">
        <f>('TE BE'!$U$11+'TE BF'!$U$11+'TE CVA'!$U$11)*1</f>
        <v>0</v>
      </c>
      <c r="T11" s="20">
        <f>('TE BE'!$V$11+'TE BF'!$V$11+'TE CVA'!$V$11)*1</f>
        <v>0</v>
      </c>
      <c r="U11" s="20">
        <f>('TE BE'!$X$11+'TE BF'!$X$11+'TE CVA'!$X$11)*1</f>
        <v>0</v>
      </c>
      <c r="V11" s="20">
        <f>('TE BE'!$Z$11+'TE BF'!$Z$11+'TE CVA'!$Z$11)*1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221.59657575681001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3">
      <c r="A12" s="107"/>
      <c r="B12" s="107"/>
      <c r="C12" s="107"/>
      <c r="D12" s="22" t="s">
        <v>29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53.816000000000003</v>
      </c>
      <c r="J12" s="15"/>
      <c r="L12" s="20">
        <f>('TE BE'!$L$12+'TE BF'!$L$12+'TE CVA'!$L$12)*(1 - 0.65)</f>
        <v>0</v>
      </c>
      <c r="M12" s="20">
        <f>('TE BE'!$M$12+'TE BF'!$M$12+'TE CVA'!$M$12)*(1 - 0.65)</f>
        <v>0</v>
      </c>
      <c r="N12" s="20">
        <f>('TE BE'!$N$12+'TE BF'!$N$12+'TE CVA'!$N$12)*(1 - 0.65)</f>
        <v>0</v>
      </c>
      <c r="O12" s="20">
        <f>('TE BE'!$O$12+'TE BF'!$O$12+'TE CVA'!$O$12)*(1 - 0.65)</f>
        <v>0</v>
      </c>
      <c r="P12" s="20">
        <f>('TE BE'!$P$12+'TE BF'!$P$12+'TE CVA'!$P$12)*(1 - 0.65)</f>
        <v>0</v>
      </c>
      <c r="Q12" s="20">
        <f>('TE BE'!$R$12+'TE BF'!$R$12+'TE CVA'!$R$12)*(1 - 0.65)</f>
        <v>94.223287983308353</v>
      </c>
      <c r="R12" s="20">
        <f>('TE BE'!$T$12+'TE BF'!$T$12+'TE CVA'!$T$12)*(1 - 0.65)</f>
        <v>0</v>
      </c>
      <c r="S12" s="20">
        <f>('TE BE'!$U$12+'TE BF'!$U$12+'TE CVA'!$U$12)*(1 - 0.65)</f>
        <v>0</v>
      </c>
      <c r="T12" s="20">
        <f>('TE BE'!$V$12+'TE BF'!$V$12+'TE CVA'!$V$12)*(1 - 0.65)</f>
        <v>0</v>
      </c>
      <c r="U12" s="20">
        <f>('TE BE'!$X$12+'TE BF'!$X$12+'TE CVA'!$X$12)*(1 - 0.65)</f>
        <v>0</v>
      </c>
      <c r="V12" s="20">
        <f>('TE BE'!$Z$12+'TE BF'!$Z$12+'TE CVA'!$Z$12)*(1 - 0.65)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77.558801514883399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3">
      <c r="A13" s="107"/>
      <c r="B13" s="107"/>
      <c r="C13" s="107"/>
      <c r="D13" s="22" t="s">
        <v>30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106.858</v>
      </c>
      <c r="J13" s="15"/>
      <c r="L13" s="20">
        <f>('TE BE'!$L$13+'TE BF'!$L$13+'TE CVA'!$L$13)*(1 - 0.4)</f>
        <v>0</v>
      </c>
      <c r="M13" s="20">
        <f>('TE BE'!$M$13+'TE BF'!$M$13+'TE CVA'!$M$13)*(1 - 0.4)</f>
        <v>0</v>
      </c>
      <c r="N13" s="20">
        <f>('TE BE'!$N$13+'TE BF'!$N$13+'TE CVA'!$N$13)*(1 - 0.4)</f>
        <v>0</v>
      </c>
      <c r="O13" s="20">
        <f>('TE BE'!$O$13+'TE BF'!$O$13+'TE CVA'!$O$13)*(1 - 0.4)</f>
        <v>0</v>
      </c>
      <c r="P13" s="20">
        <f>('TE BE'!$P$13+'TE BF'!$P$13+'TE CVA'!$P$13)*(1 - 0.4)</f>
        <v>0</v>
      </c>
      <c r="Q13" s="20">
        <f>('TE BE'!$R$13+'TE BF'!$R$13+'TE CVA'!$R$13)*(1 - 0.4)</f>
        <v>161.52563654281434</v>
      </c>
      <c r="R13" s="20">
        <f>('TE BE'!$T$13+'TE BF'!$T$13+'TE CVA'!$T$13)*(1 - 0.4)</f>
        <v>0</v>
      </c>
      <c r="S13" s="20">
        <f>('TE BE'!$U$13+'TE BF'!$U$13+'TE CVA'!$U$13)*(1 - 0.4)</f>
        <v>0</v>
      </c>
      <c r="T13" s="20">
        <f>('TE BE'!$V$13+'TE BF'!$V$13+'TE CVA'!$V$13)*(1 - 0.4)</f>
        <v>0</v>
      </c>
      <c r="U13" s="20">
        <f>('TE BE'!$X$13+'TE BF'!$X$13+'TE CVA'!$X$13)*(1 - 0.4)</f>
        <v>0</v>
      </c>
      <c r="V13" s="20">
        <f>('TE BE'!$Z$13+'TE BF'!$Z$13+'TE CVA'!$Z$13)*(1 - 0.4)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132.957945454086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3">
      <c r="A14" s="107"/>
      <c r="B14" s="107"/>
      <c r="C14" s="107"/>
      <c r="D14" s="22" t="s">
        <v>31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84.406000000000006</v>
      </c>
      <c r="J14" s="15"/>
      <c r="L14" s="20">
        <f>('TE BE'!$L$14+'TE BF'!$L$14+'TE CVA'!$L$14)*(1 - 0.1)</f>
        <v>0</v>
      </c>
      <c r="M14" s="20">
        <f>('TE BE'!$M$14+'TE BF'!$M$14+'TE CVA'!$M$14)*(1 - 0.1)</f>
        <v>0</v>
      </c>
      <c r="N14" s="20">
        <f>('TE BE'!$N$14+'TE BF'!$N$14+'TE CVA'!$N$14)*(1 - 0.1)</f>
        <v>0</v>
      </c>
      <c r="O14" s="20">
        <f>('TE BE'!$O$14+'TE BF'!$O$14+'TE CVA'!$O$14)*(1 - 0.1)</f>
        <v>0</v>
      </c>
      <c r="P14" s="20">
        <f>('TE BE'!$P$14+'TE BF'!$P$14+'TE CVA'!$P$14)*(1 - 0.1)</f>
        <v>0</v>
      </c>
      <c r="Q14" s="20">
        <f>('TE BE'!$R$14+'TE BF'!$R$14+'TE CVA'!$R$14)*(1 - 0.1)</f>
        <v>242.2884548142215</v>
      </c>
      <c r="R14" s="20">
        <f>('TE BE'!$T$14+'TE BF'!$T$14+'TE CVA'!$T$14)*(1 - 0.1)</f>
        <v>0</v>
      </c>
      <c r="S14" s="20">
        <f>('TE BE'!$U$14+'TE BF'!$U$14+'TE CVA'!$U$14)*(1 - 0.1)</f>
        <v>0</v>
      </c>
      <c r="T14" s="20">
        <f>('TE BE'!$V$14+'TE BF'!$V$14+'TE CVA'!$V$14)*(1 - 0.1)</f>
        <v>0</v>
      </c>
      <c r="U14" s="20">
        <f>('TE BE'!$X$14+'TE BF'!$X$14+'TE CVA'!$X$14)*(1 - 0.1)</f>
        <v>0</v>
      </c>
      <c r="V14" s="20">
        <f>('TE BE'!$Z$14+'TE BF'!$Z$14+'TE CVA'!$Z$14)*(1 - 0.1)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199.43691818112899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3">
      <c r="A15" s="107"/>
      <c r="B15" s="107"/>
      <c r="C15" s="107"/>
      <c r="D15" s="22" t="s">
        <v>32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19.05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269.20939423802389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221.59657575681001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3">
      <c r="A16" s="107"/>
      <c r="B16" s="107" t="s">
        <v>83</v>
      </c>
      <c r="C16" s="107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('TE BE'!$L$16+'TE BF'!$L$16+'TE CVA'!$L$16)*1</f>
        <v>0</v>
      </c>
      <c r="M16" s="20">
        <f>('TE BE'!$M$16+'TE BF'!$M$16+'TE CVA'!$M$16)*1</f>
        <v>0</v>
      </c>
      <c r="N16" s="20">
        <f>('TE BE'!$N$16+'TE BF'!$N$16+'TE CVA'!$N$16)*1</f>
        <v>0</v>
      </c>
      <c r="O16" s="20">
        <f>('TE BE'!$O$16+'TE BF'!$O$16+'TE CVA'!$O$16)*1</f>
        <v>0</v>
      </c>
      <c r="P16" s="20">
        <f>('TE BE'!$P$16+'TE BF'!$P$16+'TE CVA'!$P$16)*1</f>
        <v>0</v>
      </c>
      <c r="Q16" s="20">
        <f>('TE BE'!$R$16+'TE BF'!$R$16+'TE CVA'!$R$16)*1</f>
        <v>269.20939423802389</v>
      </c>
      <c r="R16" s="20">
        <f>('TE BE'!$T$16+'TE BF'!$T$16+'TE CVA'!$T$16)*1</f>
        <v>0</v>
      </c>
      <c r="S16" s="20">
        <f>('TE BE'!$U$16+'TE BF'!$U$16+'TE CVA'!$U$16)*1</f>
        <v>0</v>
      </c>
      <c r="T16" s="20">
        <f>('TE BE'!$V$16+'TE BF'!$V$16+'TE CVA'!$V$16)*1</f>
        <v>0</v>
      </c>
      <c r="U16" s="20">
        <f>('TE BE'!$X$16+'TE BF'!$X$16+'TE CVA'!$X$16)*1</f>
        <v>0</v>
      </c>
      <c r="V16" s="20">
        <f>('TE BE'!$Z$16+'TE BF'!$Z$16+'TE CVA'!$Z$16)*1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221.59657575681001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3">
      <c r="A17" s="107"/>
      <c r="B17" s="107"/>
      <c r="C17" s="107"/>
      <c r="D17" s="22" t="s">
        <v>29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('TE BE'!$L$17+'TE BF'!$L$17+'TE CVA'!$L$17)*(1 - 0.65)</f>
        <v>0</v>
      </c>
      <c r="M17" s="20">
        <f>('TE BE'!$M$17+'TE BF'!$M$17+'TE CVA'!$M$17)*(1 - 0.65)</f>
        <v>0</v>
      </c>
      <c r="N17" s="20">
        <f>('TE BE'!$N$17+'TE BF'!$N$17+'TE CVA'!$N$17)*(1 - 0.65)</f>
        <v>0</v>
      </c>
      <c r="O17" s="20">
        <f>('TE BE'!$O$17+'TE BF'!$O$17+'TE CVA'!$O$17)*(1 - 0.65)</f>
        <v>0</v>
      </c>
      <c r="P17" s="20">
        <f>('TE BE'!$P$17+'TE BF'!$P$17+'TE CVA'!$P$17)*(1 - 0.65)</f>
        <v>0</v>
      </c>
      <c r="Q17" s="20">
        <f>('TE BE'!$R$17+'TE BF'!$R$17+'TE CVA'!$R$17)*(1 - 0.65)</f>
        <v>94.223287983308353</v>
      </c>
      <c r="R17" s="20">
        <f>('TE BE'!$T$17+'TE BF'!$T$17+'TE CVA'!$T$17)*(1 - 0.65)</f>
        <v>0</v>
      </c>
      <c r="S17" s="20">
        <f>('TE BE'!$U$17+'TE BF'!$U$17+'TE CVA'!$U$17)*(1 - 0.65)</f>
        <v>0</v>
      </c>
      <c r="T17" s="20">
        <f>('TE BE'!$V$17+'TE BF'!$V$17+'TE CVA'!$V$17)*(1 - 0.65)</f>
        <v>0</v>
      </c>
      <c r="U17" s="20">
        <f>('TE BE'!$X$17+'TE BF'!$X$17+'TE CVA'!$X$17)*(1 - 0.65)</f>
        <v>0</v>
      </c>
      <c r="V17" s="20">
        <f>('TE BE'!$Z$17+'TE BF'!$Z$17+'TE CVA'!$Z$17)*(1 - 0.65)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77.558801514883399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3">
      <c r="A18" s="107"/>
      <c r="B18" s="107"/>
      <c r="C18" s="107"/>
      <c r="D18" s="22" t="s">
        <v>30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('TE BE'!$L$18+'TE BF'!$L$18+'TE CVA'!$L$18)*(1 - 0.4)</f>
        <v>0</v>
      </c>
      <c r="M18" s="20">
        <f>('TE BE'!$M$18+'TE BF'!$M$18+'TE CVA'!$M$18)*(1 - 0.4)</f>
        <v>0</v>
      </c>
      <c r="N18" s="20">
        <f>('TE BE'!$N$18+'TE BF'!$N$18+'TE CVA'!$N$18)*(1 - 0.4)</f>
        <v>0</v>
      </c>
      <c r="O18" s="20">
        <f>('TE BE'!$O$18+'TE BF'!$O$18+'TE CVA'!$O$18)*(1 - 0.4)</f>
        <v>0</v>
      </c>
      <c r="P18" s="20">
        <f>('TE BE'!$P$18+'TE BF'!$P$18+'TE CVA'!$P$18)*(1 - 0.4)</f>
        <v>0</v>
      </c>
      <c r="Q18" s="20">
        <f>('TE BE'!$R$18+'TE BF'!$R$18+'TE CVA'!$R$18)*(1 - 0.4)</f>
        <v>161.52563654281434</v>
      </c>
      <c r="R18" s="20">
        <f>('TE BE'!$T$18+'TE BF'!$T$18+'TE CVA'!$T$18)*(1 - 0.4)</f>
        <v>0</v>
      </c>
      <c r="S18" s="20">
        <f>('TE BE'!$U$18+'TE BF'!$U$18+'TE CVA'!$U$18)*(1 - 0.4)</f>
        <v>0</v>
      </c>
      <c r="T18" s="20">
        <f>('TE BE'!$V$18+'TE BF'!$V$18+'TE CVA'!$V$18)*(1 - 0.4)</f>
        <v>0</v>
      </c>
      <c r="U18" s="20">
        <f>('TE BE'!$X$18+'TE BF'!$X$18+'TE CVA'!$X$18)*(1 - 0.4)</f>
        <v>0</v>
      </c>
      <c r="V18" s="20">
        <f>('TE BE'!$Z$18+'TE BF'!$Z$18+'TE CVA'!$Z$18)*(1 - 0.4)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132.957945454086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3">
      <c r="A19" s="107"/>
      <c r="B19" s="107"/>
      <c r="C19" s="107"/>
      <c r="D19" s="22" t="s">
        <v>31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('TE BE'!$L$19+'TE BF'!$L$19+'TE CVA'!$L$19)*(1 - 0.1)</f>
        <v>0</v>
      </c>
      <c r="M19" s="20">
        <f>('TE BE'!$M$19+'TE BF'!$M$19+'TE CVA'!$M$19)*(1 - 0.1)</f>
        <v>0</v>
      </c>
      <c r="N19" s="20">
        <f>('TE BE'!$N$19+'TE BF'!$N$19+'TE CVA'!$N$19)*(1 - 0.1)</f>
        <v>0</v>
      </c>
      <c r="O19" s="20">
        <f>('TE BE'!$O$19+'TE BF'!$O$19+'TE CVA'!$O$19)*(1 - 0.1)</f>
        <v>0</v>
      </c>
      <c r="P19" s="20">
        <f>('TE BE'!$P$19+'TE BF'!$P$19+'TE CVA'!$P$19)*(1 - 0.1)</f>
        <v>0</v>
      </c>
      <c r="Q19" s="20">
        <f>('TE BE'!$R$19+'TE BF'!$R$19+'TE CVA'!$R$19)*(1 - 0.1)</f>
        <v>242.2884548142215</v>
      </c>
      <c r="R19" s="20">
        <f>('TE BE'!$T$19+'TE BF'!$T$19+'TE CVA'!$T$19)*(1 - 0.1)</f>
        <v>0</v>
      </c>
      <c r="S19" s="20">
        <f>('TE BE'!$U$19+'TE BF'!$U$19+'TE CVA'!$U$19)*(1 - 0.1)</f>
        <v>0</v>
      </c>
      <c r="T19" s="20">
        <f>('TE BE'!$V$19+'TE BF'!$V$19+'TE CVA'!$V$19)*(1 - 0.1)</f>
        <v>0</v>
      </c>
      <c r="U19" s="20">
        <f>('TE BE'!$X$19+'TE BF'!$X$19+'TE CVA'!$X$19)*(1 - 0.1)</f>
        <v>0</v>
      </c>
      <c r="V19" s="20">
        <f>('TE BE'!$Z$19+'TE BF'!$Z$19+'TE CVA'!$Z$19)*(1 - 0.1)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199.43691818112899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3">
      <c r="A20" s="107"/>
      <c r="B20" s="107"/>
      <c r="C20" s="107"/>
      <c r="D20" s="22" t="s">
        <v>32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('TE BE'!$L$20+'TE BF'!$L$20+'TE CVA'!$L$20)*1</f>
        <v>0</v>
      </c>
      <c r="M20" s="20">
        <f>('TE BE'!$M$20+'TE BF'!$M$20+'TE CVA'!$M$20)*1</f>
        <v>0</v>
      </c>
      <c r="N20" s="20">
        <f>('TE BE'!$N$20+'TE BF'!$N$20+'TE CVA'!$N$20)*1</f>
        <v>0</v>
      </c>
      <c r="O20" s="20">
        <f>('TE BE'!$O$20+'TE BF'!$O$20+'TE CVA'!$O$20)*1</f>
        <v>0</v>
      </c>
      <c r="P20" s="20">
        <f>('TE BE'!$P$20+'TE BF'!$P$20+'TE CVA'!$P$20)*1</f>
        <v>0</v>
      </c>
      <c r="Q20" s="20">
        <f>('TE BE'!$R$20+'TE BF'!$R$20+'TE CVA'!$R$20)*1</f>
        <v>269.20939423802389</v>
      </c>
      <c r="R20" s="20">
        <f>('TE BE'!$T$20+'TE BF'!$T$20+'TE CVA'!$T$20)*1</f>
        <v>0</v>
      </c>
      <c r="S20" s="20">
        <f>('TE BE'!$U$20+'TE BF'!$U$20+'TE CVA'!$U$20)*1</f>
        <v>0</v>
      </c>
      <c r="T20" s="20">
        <f>('TE BE'!$V$20+'TE BF'!$V$20+'TE CVA'!$V$20)*1</f>
        <v>0</v>
      </c>
      <c r="U20" s="20">
        <f>('TE BE'!$X$20+'TE BF'!$X$20+'TE CVA'!$X$20)*1</f>
        <v>0</v>
      </c>
      <c r="V20" s="20">
        <f>('TE BE'!$Z$20+'TE BF'!$Z$20+'TE CVA'!$Z$20)*1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221.59657575681001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3">
      <c r="A21" s="107" t="s">
        <v>41</v>
      </c>
      <c r="B21" s="107" t="s">
        <v>67</v>
      </c>
      <c r="C21" s="107" t="s">
        <v>42</v>
      </c>
      <c r="D21" s="107" t="s">
        <v>25</v>
      </c>
      <c r="E21" s="107" t="s">
        <v>25</v>
      </c>
      <c r="F21" s="107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253.05683058374245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195.00498666599299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3">
      <c r="A22" s="107"/>
      <c r="B22" s="107"/>
      <c r="C22" s="107"/>
      <c r="D22" s="107"/>
      <c r="E22" s="107"/>
      <c r="F22" s="107"/>
      <c r="G22" s="23" t="s">
        <v>82</v>
      </c>
      <c r="H22" s="23" t="s">
        <v>68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253.05683058374245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195.00498666599299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3">
      <c r="A23" s="107"/>
      <c r="B23" s="107"/>
      <c r="C23" s="107"/>
      <c r="D23" s="107"/>
      <c r="E23" s="107"/>
      <c r="F23" s="107"/>
      <c r="G23" s="23" t="s">
        <v>70</v>
      </c>
      <c r="H23" s="23" t="s">
        <v>68</v>
      </c>
      <c r="I23" s="23">
        <f>'MERCADO TE'!$U$20</f>
        <v>0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253.05683058374245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195.00498666599299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3">
      <c r="A24" s="107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1383.9670000000001</v>
      </c>
      <c r="J24" s="15"/>
      <c r="L24" s="20">
        <f>('TE BE'!$L$24+'TE BF'!$L$24+'TE CVA'!$L$24)*(1 - CUSTOS!$M$38)</f>
        <v>0</v>
      </c>
      <c r="M24" s="20">
        <f>('TE BE'!$M$24+'TE BF'!$M$24+'TE CVA'!$M$24)*(1 - CUSTOS!$M$38)</f>
        <v>0</v>
      </c>
      <c r="N24" s="20">
        <f>('TE BE'!$N$24+'TE BF'!$N$24+'TE CVA'!$N$24)*(1 - CUSTOS!$M$38)</f>
        <v>0</v>
      </c>
      <c r="O24" s="20">
        <f>('TE BE'!$O$24+'TE BF'!$O$24+'TE CVA'!$O$24)*(1 - CUSTOS!$M$38)</f>
        <v>0</v>
      </c>
      <c r="P24" s="20">
        <f>('TE BE'!$P$24+'TE BF'!$P$24+'TE CVA'!$P$24)*(1 - CUSTOS!$M$38)</f>
        <v>0</v>
      </c>
      <c r="Q24" s="20">
        <f>('TE BE'!$R$24+'TE BF'!$R$24+'TE CVA'!$R$24)*(1 - CUSTOS!$M$38)</f>
        <v>253.05683058374245</v>
      </c>
      <c r="R24" s="20">
        <f>('TE BE'!$T$24+'TE BF'!$T$24+'TE CVA'!$T$24)*(1 - CUSTOS!$M$38)</f>
        <v>0</v>
      </c>
      <c r="S24" s="20">
        <f>('TE BE'!$U$24+'TE BF'!$U$24+'TE CVA'!$U$24)*(1 - CUSTOS!$M$38)</f>
        <v>0</v>
      </c>
      <c r="T24" s="20">
        <f>('TE BE'!$V$24+'TE BF'!$V$24+'TE CVA'!$V$24)*(1 - CUSTOS!$M$38)</f>
        <v>0</v>
      </c>
      <c r="U24" s="20">
        <f>('TE BE'!$X$24+'TE BF'!$X$24+'TE CVA'!$X$24)*(1 - CUSTOS!$M$38)</f>
        <v>0</v>
      </c>
      <c r="V24" s="20">
        <f>('TE BE'!$Z$24+'TE BF'!$Z$24+'TE CVA'!$Z$24)*(1 - CUSTOS!$M$38)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195.00498666599299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3">
      <c r="A25" s="107"/>
      <c r="B25" s="107" t="s">
        <v>67</v>
      </c>
      <c r="C25" s="107" t="s">
        <v>42</v>
      </c>
      <c r="D25" s="107" t="s">
        <v>85</v>
      </c>
      <c r="E25" s="107" t="s">
        <v>25</v>
      </c>
      <c r="F25" s="107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253.05683058374245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195.00498666599299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3">
      <c r="A26" s="107"/>
      <c r="B26" s="107"/>
      <c r="C26" s="107"/>
      <c r="D26" s="107"/>
      <c r="E26" s="107"/>
      <c r="F26" s="107"/>
      <c r="G26" s="23" t="s">
        <v>82</v>
      </c>
      <c r="H26" s="23" t="s">
        <v>68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253.05683058374245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195.00498666599299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3">
      <c r="A27" s="107"/>
      <c r="B27" s="107"/>
      <c r="C27" s="107"/>
      <c r="D27" s="107"/>
      <c r="E27" s="107"/>
      <c r="F27" s="107"/>
      <c r="G27" s="23" t="s">
        <v>70</v>
      </c>
      <c r="H27" s="23" t="s">
        <v>68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253.05683058374245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195.00498666599299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3">
      <c r="A28" s="107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('TE BE'!$L$28+'TE BF'!$L$28+'TE CVA'!$L$28)*(1 - CUSTOS!$M$39)</f>
        <v>0</v>
      </c>
      <c r="M28" s="20">
        <f>('TE BE'!$M$28+'TE BF'!$M$28+'TE CVA'!$M$28)*(1 - CUSTOS!$M$39)</f>
        <v>0</v>
      </c>
      <c r="N28" s="20">
        <f>('TE BE'!$N$28+'TE BF'!$N$28+'TE CVA'!$N$28)*(1 - CUSTOS!$M$39)</f>
        <v>0</v>
      </c>
      <c r="O28" s="20">
        <f>('TE BE'!$O$28+'TE BF'!$O$28+'TE CVA'!$O$28)*(1 - CUSTOS!$M$39)</f>
        <v>0</v>
      </c>
      <c r="P28" s="20">
        <f>('TE BE'!$P$28+'TE BF'!$P$28+'TE CVA'!$P$28)*(1 - CUSTOS!$M$39)</f>
        <v>0</v>
      </c>
      <c r="Q28" s="20">
        <f>('TE BE'!$R$28+'TE BF'!$R$28+'TE CVA'!$R$28)*(1 - CUSTOS!$M$39)</f>
        <v>253.05683058374245</v>
      </c>
      <c r="R28" s="20">
        <f>('TE BE'!$T$28+'TE BF'!$T$28+'TE CVA'!$T$28)*(1 - CUSTOS!$M$39)</f>
        <v>0</v>
      </c>
      <c r="S28" s="20">
        <f>('TE BE'!$U$28+'TE BF'!$U$28+'TE CVA'!$U$28)*(1 - CUSTOS!$M$39)</f>
        <v>0</v>
      </c>
      <c r="T28" s="20">
        <f>('TE BE'!$V$28+'TE BF'!$V$28+'TE CVA'!$V$28)*(1 - CUSTOS!$M$39)</f>
        <v>0</v>
      </c>
      <c r="U28" s="20">
        <f>('TE BE'!$X$28+'TE BF'!$X$28+'TE CVA'!$X$28)*(1 - CUSTOS!$M$39)</f>
        <v>0</v>
      </c>
      <c r="V28" s="20">
        <f>('TE BE'!$Z$28+'TE BF'!$Z$28+'TE CVA'!$Z$28)*(1 - CUSTOS!$M$39)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195.00498666599299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3">
      <c r="A29" s="107"/>
      <c r="B29" s="107" t="s">
        <v>67</v>
      </c>
      <c r="C29" s="107" t="s">
        <v>42</v>
      </c>
      <c r="D29" s="107" t="s">
        <v>86</v>
      </c>
      <c r="E29" s="107" t="s">
        <v>25</v>
      </c>
      <c r="F29" s="107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247.672642698982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186.14112363571999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3">
      <c r="A30" s="107"/>
      <c r="B30" s="107"/>
      <c r="C30" s="107"/>
      <c r="D30" s="107"/>
      <c r="E30" s="107"/>
      <c r="F30" s="107"/>
      <c r="G30" s="23" t="s">
        <v>82</v>
      </c>
      <c r="H30" s="23" t="s">
        <v>68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247.672642698982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186.14112363571999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3">
      <c r="A31" s="107"/>
      <c r="B31" s="107"/>
      <c r="C31" s="107"/>
      <c r="D31" s="107"/>
      <c r="E31" s="107"/>
      <c r="F31" s="107"/>
      <c r="G31" s="23" t="s">
        <v>70</v>
      </c>
      <c r="H31" s="23" t="s">
        <v>68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247.672642698982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186.14112363571999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3">
      <c r="A32" s="107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('TE BE'!$L$32+'TE BF'!$L$32+'TE CVA'!$L$32)*(1 - CUSTOS!$M$40)</f>
        <v>0</v>
      </c>
      <c r="M32" s="20">
        <f>('TE BE'!$M$32+'TE BF'!$M$32+'TE CVA'!$M$32)*(1 - CUSTOS!$M$40)</f>
        <v>0</v>
      </c>
      <c r="N32" s="20">
        <f>('TE BE'!$N$32+'TE BF'!$N$32+'TE CVA'!$N$32)*(1 - CUSTOS!$M$40)</f>
        <v>0</v>
      </c>
      <c r="O32" s="20">
        <f>('TE BE'!$O$32+'TE BF'!$O$32+'TE CVA'!$O$32)*(1 - CUSTOS!$M$40)</f>
        <v>0</v>
      </c>
      <c r="P32" s="20">
        <f>('TE BE'!$P$32+'TE BF'!$P$32+'TE CVA'!$P$32)*(1 - CUSTOS!$M$40)</f>
        <v>0</v>
      </c>
      <c r="Q32" s="20">
        <f>('TE BE'!$R$32+'TE BF'!$R$32+'TE CVA'!$R$32)*(1 - CUSTOS!$M$40)</f>
        <v>247.672642698982</v>
      </c>
      <c r="R32" s="20">
        <f>('TE BE'!$T$32+'TE BF'!$T$32+'TE CVA'!$T$32)*(1 - CUSTOS!$M$40)</f>
        <v>0</v>
      </c>
      <c r="S32" s="20">
        <f>('TE BE'!$U$32+'TE BF'!$U$32+'TE CVA'!$U$32)*(1 - CUSTOS!$M$40)</f>
        <v>0</v>
      </c>
      <c r="T32" s="20">
        <f>('TE BE'!$V$32+'TE BF'!$V$32+'TE CVA'!$V$32)*(1 - CUSTOS!$M$40)</f>
        <v>0</v>
      </c>
      <c r="U32" s="20">
        <f>('TE BE'!$X$32+'TE BF'!$X$32+'TE CVA'!$X$32)*(1 - CUSTOS!$M$40)</f>
        <v>0</v>
      </c>
      <c r="V32" s="20">
        <f>('TE BE'!$Z$32+'TE BF'!$Z$32+'TE CVA'!$Z$32)*(1 - CUSTOS!$M$40)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186.14112363571999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3">
      <c r="A33" s="107"/>
      <c r="B33" s="107" t="s">
        <v>83</v>
      </c>
      <c r="C33" s="107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('TE BE'!$L$33+'TE BF'!$L$33+'TE CVA'!$L$33)*(1 - CUSTOS!$M$38)</f>
        <v>0</v>
      </c>
      <c r="M33" s="20">
        <f>('TE BE'!$M$33+'TE BF'!$M$33+'TE CVA'!$M$33)*(1 - CUSTOS!$M$38)</f>
        <v>0</v>
      </c>
      <c r="N33" s="20">
        <f>('TE BE'!$N$33+'TE BF'!$N$33+'TE CVA'!$N$33)*(1 - CUSTOS!$M$38)</f>
        <v>0</v>
      </c>
      <c r="O33" s="20">
        <f>('TE BE'!$O$33+'TE BF'!$O$33+'TE CVA'!$O$33)*(1 - CUSTOS!$M$38)</f>
        <v>0</v>
      </c>
      <c r="P33" s="20">
        <f>('TE BE'!$P$33+'TE BF'!$P$33+'TE CVA'!$P$33)*(1 - CUSTOS!$M$38)</f>
        <v>0</v>
      </c>
      <c r="Q33" s="20">
        <f>('TE BE'!$R$33+'TE BF'!$R$33+'TE CVA'!$R$33)*(1 - CUSTOS!$M$38)</f>
        <v>253.05683058374245</v>
      </c>
      <c r="R33" s="20">
        <f>('TE BE'!$T$33+'TE BF'!$T$33+'TE CVA'!$T$33)*(1 - CUSTOS!$M$38)</f>
        <v>0</v>
      </c>
      <c r="S33" s="20">
        <f>('TE BE'!$U$33+'TE BF'!$U$33+'TE CVA'!$U$33)*(1 - CUSTOS!$M$38)</f>
        <v>0</v>
      </c>
      <c r="T33" s="20">
        <f>('TE BE'!$V$33+'TE BF'!$V$33+'TE CVA'!$V$33)*(1 - CUSTOS!$M$38)</f>
        <v>0</v>
      </c>
      <c r="U33" s="20">
        <f>('TE BE'!$X$33+'TE BF'!$X$33+'TE CVA'!$X$33)*(1 - CUSTOS!$M$38)</f>
        <v>0</v>
      </c>
      <c r="V33" s="20">
        <f>('TE BE'!$Z$33+'TE BF'!$Z$33+'TE CVA'!$Z$33)*(1 - CUSTOS!$M$38)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195.00498666599299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3">
      <c r="A34" s="107"/>
      <c r="B34" s="107"/>
      <c r="C34" s="107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('TE BE'!$L$34+'TE BF'!$L$34+'TE CVA'!$L$34)*(1 - CUSTOS!$M$39)</f>
        <v>0</v>
      </c>
      <c r="M34" s="20">
        <f>('TE BE'!$M$34+'TE BF'!$M$34+'TE CVA'!$M$34)*(1 - CUSTOS!$M$39)</f>
        <v>0</v>
      </c>
      <c r="N34" s="20">
        <f>('TE BE'!$N$34+'TE BF'!$N$34+'TE CVA'!$N$34)*(1 - CUSTOS!$M$39)</f>
        <v>0</v>
      </c>
      <c r="O34" s="20">
        <f>('TE BE'!$O$34+'TE BF'!$O$34+'TE CVA'!$O$34)*(1 - CUSTOS!$M$39)</f>
        <v>0</v>
      </c>
      <c r="P34" s="20">
        <f>('TE BE'!$P$34+'TE BF'!$P$34+'TE CVA'!$P$34)*(1 - CUSTOS!$M$39)</f>
        <v>0</v>
      </c>
      <c r="Q34" s="20">
        <f>('TE BE'!$R$34+'TE BF'!$R$34+'TE CVA'!$R$34)*(1 - CUSTOS!$M$39)</f>
        <v>253.05683058374245</v>
      </c>
      <c r="R34" s="20">
        <f>('TE BE'!$T$34+'TE BF'!$T$34+'TE CVA'!$T$34)*(1 - CUSTOS!$M$39)</f>
        <v>0</v>
      </c>
      <c r="S34" s="20">
        <f>('TE BE'!$U$34+'TE BF'!$U$34+'TE CVA'!$U$34)*(1 - CUSTOS!$M$39)</f>
        <v>0</v>
      </c>
      <c r="T34" s="20">
        <f>('TE BE'!$V$34+'TE BF'!$V$34+'TE CVA'!$V$34)*(1 - CUSTOS!$M$39)</f>
        <v>0</v>
      </c>
      <c r="U34" s="20">
        <f>('TE BE'!$X$34+'TE BF'!$X$34+'TE CVA'!$X$34)*(1 - CUSTOS!$M$39)</f>
        <v>0</v>
      </c>
      <c r="V34" s="20">
        <f>('TE BE'!$Z$34+'TE BF'!$Z$34+'TE CVA'!$Z$34)*(1 - CUSTOS!$M$39)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195.00498666599299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3">
      <c r="A35" s="107"/>
      <c r="B35" s="107"/>
      <c r="C35" s="107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('TE BE'!$L$35+'TE BF'!$L$35+'TE CVA'!$L$35)*(1 - CUSTOS!$M$40)</f>
        <v>0</v>
      </c>
      <c r="M35" s="20">
        <f>('TE BE'!$M$35+'TE BF'!$M$35+'TE CVA'!$M$35)*(1 - CUSTOS!$M$40)</f>
        <v>0</v>
      </c>
      <c r="N35" s="20">
        <f>('TE BE'!$N$35+'TE BF'!$N$35+'TE CVA'!$N$35)*(1 - CUSTOS!$M$40)</f>
        <v>0</v>
      </c>
      <c r="O35" s="20">
        <f>('TE BE'!$O$35+'TE BF'!$O$35+'TE CVA'!$O$35)*(1 - CUSTOS!$M$40)</f>
        <v>0</v>
      </c>
      <c r="P35" s="20">
        <f>('TE BE'!$P$35+'TE BF'!$P$35+'TE CVA'!$P$35)*(1 - CUSTOS!$M$40)</f>
        <v>0</v>
      </c>
      <c r="Q35" s="20">
        <f>('TE BE'!$R$35+'TE BF'!$R$35+'TE CVA'!$R$35)*(1 - CUSTOS!$M$40)</f>
        <v>247.672642698982</v>
      </c>
      <c r="R35" s="20">
        <f>('TE BE'!$T$35+'TE BF'!$T$35+'TE CVA'!$T$35)*(1 - CUSTOS!$M$40)</f>
        <v>0</v>
      </c>
      <c r="S35" s="20">
        <f>('TE BE'!$U$35+'TE BF'!$U$35+'TE CVA'!$U$35)*(1 - CUSTOS!$M$40)</f>
        <v>0</v>
      </c>
      <c r="T35" s="20">
        <f>('TE BE'!$V$35+'TE BF'!$V$35+'TE CVA'!$V$35)*(1 - CUSTOS!$M$40)</f>
        <v>0</v>
      </c>
      <c r="U35" s="20">
        <f>('TE BE'!$X$35+'TE BF'!$X$35+'TE CVA'!$X$35)*(1 - CUSTOS!$M$40)</f>
        <v>0</v>
      </c>
      <c r="V35" s="20">
        <f>('TE BE'!$Z$35+'TE BF'!$Z$35+'TE CVA'!$Z$35)*(1 - CUSTOS!$M$40)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186.14112363571999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3">
      <c r="A36" s="107" t="s">
        <v>36</v>
      </c>
      <c r="B36" s="107" t="s">
        <v>67</v>
      </c>
      <c r="C36" s="107" t="s">
        <v>25</v>
      </c>
      <c r="D36" s="107" t="s">
        <v>25</v>
      </c>
      <c r="E36" s="107" t="s">
        <v>25</v>
      </c>
      <c r="F36" s="107" t="s">
        <v>25</v>
      </c>
      <c r="G36" s="23" t="s">
        <v>69</v>
      </c>
      <c r="H36" s="23" t="s">
        <v>68</v>
      </c>
      <c r="I36" s="23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269.20939423802389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221.59657575681001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3">
      <c r="A37" s="107"/>
      <c r="B37" s="107"/>
      <c r="C37" s="107"/>
      <c r="D37" s="107"/>
      <c r="E37" s="107"/>
      <c r="F37" s="107"/>
      <c r="G37" s="23" t="s">
        <v>82</v>
      </c>
      <c r="H37" s="23" t="s">
        <v>68</v>
      </c>
      <c r="I37" s="23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269.20939423802389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221.59657575681001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3">
      <c r="A38" s="107"/>
      <c r="B38" s="107"/>
      <c r="C38" s="107"/>
      <c r="D38" s="107"/>
      <c r="E38" s="107"/>
      <c r="F38" s="107"/>
      <c r="G38" s="23" t="s">
        <v>70</v>
      </c>
      <c r="H38" s="23" t="s">
        <v>68</v>
      </c>
      <c r="I38" s="23">
        <f>'MERCADO TE'!$U$35</f>
        <v>0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269.20939423802389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221.59657575681001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3">
      <c r="A39" s="107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643.45600000000002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269.20939423802389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221.59657575681001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3">
      <c r="A40" s="107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269.20939423802389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221.59657575681001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3">
      <c r="A41" s="107" t="s">
        <v>44</v>
      </c>
      <c r="B41" s="107" t="s">
        <v>71</v>
      </c>
      <c r="C41" s="107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546.72599999999989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148.06516683091314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121.87811666624501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2" spans="1:34" ht="11.25" customHeight="1" x14ac:dyDescent="0.3">
      <c r="A42" s="107"/>
      <c r="B42" s="107"/>
      <c r="C42" s="107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('TE BE'!$L$42+'TE BF'!$L$42+'TE CVA'!$L$42)*1</f>
        <v>0</v>
      </c>
      <c r="M42" s="20">
        <f>('TE BE'!$M$42+'TE BF'!$M$42+'TE CVA'!$M$42)*1</f>
        <v>0</v>
      </c>
      <c r="N42" s="20">
        <f>('TE BE'!$N$42+'TE BF'!$N$42+'TE CVA'!$N$42)*1</f>
        <v>0</v>
      </c>
      <c r="O42" s="20">
        <f>('TE BE'!$O$42+'TE BF'!$O$42+'TE CVA'!$O$42)*1</f>
        <v>0</v>
      </c>
      <c r="P42" s="20">
        <f>('TE BE'!$P$42+'TE BF'!$P$42+'TE CVA'!$P$42)*1</f>
        <v>0</v>
      </c>
      <c r="Q42" s="20">
        <f>('TE BE'!$R$42+'TE BF'!$R$42+'TE CVA'!$R$42)*1</f>
        <v>161.52563654281431</v>
      </c>
      <c r="R42" s="20">
        <f>('TE BE'!$T$42+'TE BF'!$T$42+'TE CVA'!$T$42)*1</f>
        <v>0</v>
      </c>
      <c r="S42" s="20">
        <f>('TE BE'!$U$42+'TE BF'!$U$42+'TE CVA'!$U$42)*1</f>
        <v>0</v>
      </c>
      <c r="T42" s="20">
        <f>('TE BE'!$V$42+'TE BF'!$V$42+'TE CVA'!$V$42)*1</f>
        <v>0</v>
      </c>
      <c r="U42" s="20">
        <f>('TE BE'!$X$42+'TE BF'!$X$42+'TE CVA'!$X$42)*1</f>
        <v>0</v>
      </c>
      <c r="V42" s="20">
        <f>('TE BE'!$Z$42+'TE BF'!$Z$42+'TE CVA'!$Z$42)*1</f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132.957945454086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</row>
    <row r="44" spans="1:34" ht="11.25" customHeight="1" x14ac:dyDescent="0.3">
      <c r="L44" s="104" t="s">
        <v>867</v>
      </c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X44" s="104" t="s">
        <v>868</v>
      </c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</row>
    <row r="45" spans="1:34" ht="11.25" customHeight="1" x14ac:dyDescent="0.3">
      <c r="L45" s="104" t="s">
        <v>423</v>
      </c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X45" s="104" t="s">
        <v>423</v>
      </c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</row>
    <row r="46" spans="1:34" ht="11.25" customHeight="1" x14ac:dyDescent="0.3">
      <c r="L46" s="104" t="s">
        <v>396</v>
      </c>
      <c r="M46" s="104"/>
      <c r="N46" s="104"/>
      <c r="O46" s="104"/>
      <c r="P46" s="104"/>
      <c r="Q46" s="24" t="s">
        <v>427</v>
      </c>
      <c r="R46" s="104" t="s">
        <v>405</v>
      </c>
      <c r="S46" s="104"/>
      <c r="T46" s="104"/>
      <c r="U46" s="24" t="s">
        <v>415</v>
      </c>
      <c r="V46" s="24" t="s">
        <v>418</v>
      </c>
      <c r="X46" s="104" t="s">
        <v>396</v>
      </c>
      <c r="Y46" s="104"/>
      <c r="Z46" s="104"/>
      <c r="AA46" s="104"/>
      <c r="AB46" s="104"/>
      <c r="AC46" s="24" t="s">
        <v>427</v>
      </c>
      <c r="AD46" s="104" t="s">
        <v>405</v>
      </c>
      <c r="AE46" s="104"/>
      <c r="AF46" s="104"/>
      <c r="AG46" s="24" t="s">
        <v>415</v>
      </c>
      <c r="AH46" s="24" t="s">
        <v>418</v>
      </c>
    </row>
    <row r="47" spans="1:34" ht="11.25" customHeight="1" x14ac:dyDescent="0.3">
      <c r="L47" s="24" t="s">
        <v>398</v>
      </c>
      <c r="M47" s="24" t="s">
        <v>424</v>
      </c>
      <c r="N47" s="24" t="s">
        <v>425</v>
      </c>
      <c r="O47" s="24" t="s">
        <v>484</v>
      </c>
      <c r="P47" s="24" t="s">
        <v>426</v>
      </c>
      <c r="Q47" s="24" t="s">
        <v>428</v>
      </c>
      <c r="R47" s="24" t="s">
        <v>429</v>
      </c>
      <c r="S47" s="24" t="s">
        <v>430</v>
      </c>
      <c r="T47" s="24" t="s">
        <v>431</v>
      </c>
      <c r="U47" s="24" t="s">
        <v>416</v>
      </c>
      <c r="V47" s="24" t="s">
        <v>432</v>
      </c>
      <c r="X47" s="24" t="s">
        <v>398</v>
      </c>
      <c r="Y47" s="24" t="s">
        <v>424</v>
      </c>
      <c r="Z47" s="24" t="s">
        <v>425</v>
      </c>
      <c r="AA47" s="24" t="s">
        <v>484</v>
      </c>
      <c r="AB47" s="24" t="s">
        <v>426</v>
      </c>
      <c r="AC47" s="24" t="s">
        <v>428</v>
      </c>
      <c r="AD47" s="24" t="s">
        <v>429</v>
      </c>
      <c r="AE47" s="24" t="s">
        <v>430</v>
      </c>
      <c r="AF47" s="24" t="s">
        <v>431</v>
      </c>
      <c r="AG47" s="24" t="s">
        <v>416</v>
      </c>
      <c r="AH47" s="24" t="s">
        <v>432</v>
      </c>
    </row>
    <row r="48" spans="1:34" ht="11.25" customHeight="1" x14ac:dyDescent="0.3">
      <c r="A48" s="9" t="s">
        <v>38</v>
      </c>
      <c r="B48" s="9" t="s">
        <v>869</v>
      </c>
      <c r="C48" s="9" t="s">
        <v>870</v>
      </c>
      <c r="D48" s="9" t="s">
        <v>871</v>
      </c>
      <c r="E48" s="9" t="s">
        <v>872</v>
      </c>
      <c r="F48" s="9" t="s">
        <v>873</v>
      </c>
      <c r="G48" s="9" t="s">
        <v>874</v>
      </c>
      <c r="L48" s="20">
        <f>$I$5*$L$5</f>
        <v>0</v>
      </c>
      <c r="M48" s="20">
        <f>$I$5*$M$5</f>
        <v>0</v>
      </c>
      <c r="N48" s="20">
        <f>$I$5*$N$5</f>
        <v>0</v>
      </c>
      <c r="O48" s="20">
        <f>$I$5*$O$5</f>
        <v>0</v>
      </c>
      <c r="P48" s="20">
        <f>$I$5*$P$5</f>
        <v>0</v>
      </c>
      <c r="Q48" s="20">
        <f>$I$5*$Q$5</f>
        <v>69372.299591802133</v>
      </c>
      <c r="R48" s="20">
        <f>$I$5*$R$5</f>
        <v>0</v>
      </c>
      <c r="S48" s="20">
        <f>$I$5*$S$5</f>
        <v>0</v>
      </c>
      <c r="T48" s="20">
        <f>$I$5*$T$5</f>
        <v>0</v>
      </c>
      <c r="U48" s="20">
        <f>$I$5*$U$5</f>
        <v>0</v>
      </c>
      <c r="V48" s="20">
        <f>$I$5*$V$5</f>
        <v>0</v>
      </c>
      <c r="X48" s="20">
        <f>$I$5*$X$5</f>
        <v>0</v>
      </c>
      <c r="Y48" s="20">
        <f>$I$5*$Y$5</f>
        <v>0</v>
      </c>
      <c r="Z48" s="20">
        <f>$I$5*$Z$5</f>
        <v>0</v>
      </c>
      <c r="AA48" s="20">
        <f>$I$5*$AA$5</f>
        <v>0</v>
      </c>
      <c r="AB48" s="20">
        <f>$I$5*$AB$5</f>
        <v>0</v>
      </c>
      <c r="AC48" s="20">
        <f>$I$5*$AC$5</f>
        <v>57103.000010196607</v>
      </c>
      <c r="AD48" s="20">
        <f>$I$5*$AD$5</f>
        <v>0</v>
      </c>
      <c r="AE48" s="20">
        <f>$I$5*$AE$5</f>
        <v>0</v>
      </c>
      <c r="AF48" s="20">
        <f>$I$5*$AF$5</f>
        <v>0</v>
      </c>
      <c r="AG48" s="20">
        <f>$I$5*$AG$5</f>
        <v>0</v>
      </c>
      <c r="AH48" s="20">
        <f>$I$5*$AH$5</f>
        <v>0</v>
      </c>
    </row>
    <row r="49" spans="1:34" ht="11.25" customHeight="1" x14ac:dyDescent="0.3">
      <c r="A49" s="9" t="s">
        <v>38</v>
      </c>
      <c r="B49" s="9" t="s">
        <v>869</v>
      </c>
      <c r="C49" s="9" t="s">
        <v>870</v>
      </c>
      <c r="D49" s="9" t="s">
        <v>871</v>
      </c>
      <c r="E49" s="9" t="s">
        <v>872</v>
      </c>
      <c r="F49" s="9" t="s">
        <v>873</v>
      </c>
      <c r="G49" s="9" t="s">
        <v>875</v>
      </c>
      <c r="L49" s="20">
        <f>$I$6*$L$6</f>
        <v>0</v>
      </c>
      <c r="M49" s="20">
        <f>$I$6*$M$6</f>
        <v>0</v>
      </c>
      <c r="N49" s="20">
        <f>$I$6*$N$6</f>
        <v>0</v>
      </c>
      <c r="O49" s="20">
        <f>$I$6*$O$6</f>
        <v>0</v>
      </c>
      <c r="P49" s="20">
        <f>$I$6*$P$6</f>
        <v>0</v>
      </c>
      <c r="Q49" s="20">
        <f>$I$6*$Q$6</f>
        <v>732257.09019046358</v>
      </c>
      <c r="R49" s="20">
        <f>$I$6*$R$6</f>
        <v>0</v>
      </c>
      <c r="S49" s="20">
        <f>$I$6*$S$6</f>
        <v>0</v>
      </c>
      <c r="T49" s="20">
        <f>$I$6*$T$6</f>
        <v>0</v>
      </c>
      <c r="U49" s="20">
        <f>$I$6*$U$6</f>
        <v>0</v>
      </c>
      <c r="V49" s="20">
        <f>$I$6*$V$6</f>
        <v>0</v>
      </c>
      <c r="X49" s="20">
        <f>$I$6*$X$6</f>
        <v>0</v>
      </c>
      <c r="Y49" s="20">
        <f>$I$6*$Y$6</f>
        <v>0</v>
      </c>
      <c r="Z49" s="20">
        <f>$I$6*$Z$6</f>
        <v>0</v>
      </c>
      <c r="AA49" s="20">
        <f>$I$6*$AA$6</f>
        <v>0</v>
      </c>
      <c r="AB49" s="20">
        <f>$I$6*$AB$6</f>
        <v>0</v>
      </c>
      <c r="AC49" s="20">
        <f>$I$6*$AC$6</f>
        <v>602748.89076264435</v>
      </c>
      <c r="AD49" s="20">
        <f>$I$6*$AD$6</f>
        <v>0</v>
      </c>
      <c r="AE49" s="20">
        <f>$I$6*$AE$6</f>
        <v>0</v>
      </c>
      <c r="AF49" s="20">
        <f>$I$6*$AF$6</f>
        <v>0</v>
      </c>
      <c r="AG49" s="20">
        <f>$I$6*$AG$6</f>
        <v>0</v>
      </c>
      <c r="AH49" s="20">
        <f>$I$6*$AH$6</f>
        <v>0</v>
      </c>
    </row>
    <row r="50" spans="1:34" ht="11.25" customHeight="1" x14ac:dyDescent="0.3">
      <c r="A50" s="9" t="s">
        <v>38</v>
      </c>
      <c r="B50" s="9" t="s">
        <v>876</v>
      </c>
      <c r="C50" s="9" t="s">
        <v>877</v>
      </c>
      <c r="D50" s="9" t="s">
        <v>878</v>
      </c>
      <c r="E50" s="9" t="s">
        <v>879</v>
      </c>
      <c r="F50" s="9" t="s">
        <v>880</v>
      </c>
      <c r="G50" s="9" t="s">
        <v>881</v>
      </c>
      <c r="L50" s="20">
        <f>$I$7*$L$7</f>
        <v>0</v>
      </c>
      <c r="M50" s="20">
        <f>$I$7*$M$7</f>
        <v>0</v>
      </c>
      <c r="N50" s="20">
        <f>$I$7*$N$7</f>
        <v>0</v>
      </c>
      <c r="O50" s="20">
        <f>$I$7*$O$7</f>
        <v>0</v>
      </c>
      <c r="P50" s="20">
        <f>$I$7*$P$7</f>
        <v>0</v>
      </c>
      <c r="Q50" s="20">
        <f>$I$7*$Q$7</f>
        <v>0</v>
      </c>
      <c r="R50" s="20">
        <f>$I$7*$R$7</f>
        <v>0</v>
      </c>
      <c r="S50" s="20">
        <f>$I$7*$S$7</f>
        <v>0</v>
      </c>
      <c r="T50" s="20">
        <f>$I$7*$T$7</f>
        <v>0</v>
      </c>
      <c r="U50" s="20">
        <f>$I$7*$U$7</f>
        <v>0</v>
      </c>
      <c r="V50" s="20">
        <f>$I$7*$V$7</f>
        <v>0</v>
      </c>
      <c r="X50" s="20">
        <f>$I$7*$X$7</f>
        <v>0</v>
      </c>
      <c r="Y50" s="20">
        <f>$I$7*$Y$7</f>
        <v>0</v>
      </c>
      <c r="Z50" s="20">
        <f>$I$7*$Z$7</f>
        <v>0</v>
      </c>
      <c r="AA50" s="20">
        <f>$I$7*$AA$7</f>
        <v>0</v>
      </c>
      <c r="AB50" s="20">
        <f>$I$7*$AB$7</f>
        <v>0</v>
      </c>
      <c r="AC50" s="20">
        <f>$I$7*$AC$7</f>
        <v>0</v>
      </c>
      <c r="AD50" s="20">
        <f>$I$7*$AD$7</f>
        <v>0</v>
      </c>
      <c r="AE50" s="20">
        <f>$I$7*$AE$7</f>
        <v>0</v>
      </c>
      <c r="AF50" s="20">
        <f>$I$7*$AF$7</f>
        <v>0</v>
      </c>
      <c r="AG50" s="20">
        <f>$I$7*$AG$7</f>
        <v>0</v>
      </c>
      <c r="AH50" s="20">
        <f>$I$7*$AH$7</f>
        <v>0</v>
      </c>
    </row>
    <row r="51" spans="1:34" ht="11.25" customHeight="1" x14ac:dyDescent="0.3">
      <c r="A51" s="9" t="s">
        <v>22</v>
      </c>
      <c r="B51" s="9" t="s">
        <v>882</v>
      </c>
      <c r="C51" s="9" t="s">
        <v>883</v>
      </c>
      <c r="D51" s="9" t="s">
        <v>884</v>
      </c>
      <c r="E51" s="9" t="s">
        <v>885</v>
      </c>
      <c r="F51" s="9" t="s">
        <v>886</v>
      </c>
      <c r="G51" s="9" t="s">
        <v>887</v>
      </c>
      <c r="L51" s="20">
        <f>$I$8*$L$8</f>
        <v>0</v>
      </c>
      <c r="M51" s="20">
        <f>$I$8*$M$8</f>
        <v>0</v>
      </c>
      <c r="N51" s="20">
        <f>$I$8*$N$8</f>
        <v>0</v>
      </c>
      <c r="O51" s="20">
        <f>$I$8*$O$8</f>
        <v>0</v>
      </c>
      <c r="P51" s="20">
        <f>$I$8*$P$8</f>
        <v>0</v>
      </c>
      <c r="Q51" s="20">
        <f>$I$8*$Q$8</f>
        <v>0</v>
      </c>
      <c r="R51" s="20">
        <f>$I$8*$R$8</f>
        <v>0</v>
      </c>
      <c r="S51" s="20">
        <f>$I$8*$S$8</f>
        <v>0</v>
      </c>
      <c r="T51" s="20">
        <f>$I$8*$T$8</f>
        <v>0</v>
      </c>
      <c r="U51" s="20">
        <f>$I$8*$U$8</f>
        <v>0</v>
      </c>
      <c r="V51" s="20">
        <f>$I$8*$V$8</f>
        <v>0</v>
      </c>
      <c r="X51" s="20">
        <f>$I$8*$X$8</f>
        <v>0</v>
      </c>
      <c r="Y51" s="20">
        <f>$I$8*$Y$8</f>
        <v>0</v>
      </c>
      <c r="Z51" s="20">
        <f>$I$8*$Z$8</f>
        <v>0</v>
      </c>
      <c r="AA51" s="20">
        <f>$I$8*$AA$8</f>
        <v>0</v>
      </c>
      <c r="AB51" s="20">
        <f>$I$8*$AB$8</f>
        <v>0</v>
      </c>
      <c r="AC51" s="20">
        <f>$I$8*$AC$8</f>
        <v>0</v>
      </c>
      <c r="AD51" s="20">
        <f>$I$8*$AD$8</f>
        <v>0</v>
      </c>
      <c r="AE51" s="20">
        <f>$I$8*$AE$8</f>
        <v>0</v>
      </c>
      <c r="AF51" s="20">
        <f>$I$8*$AF$8</f>
        <v>0</v>
      </c>
      <c r="AG51" s="20">
        <f>$I$8*$AG$8</f>
        <v>0</v>
      </c>
      <c r="AH51" s="20">
        <f>$I$8*$AH$8</f>
        <v>0</v>
      </c>
    </row>
    <row r="52" spans="1:34" ht="11.25" customHeight="1" x14ac:dyDescent="0.3">
      <c r="A52" s="9" t="s">
        <v>22</v>
      </c>
      <c r="B52" s="9" t="s">
        <v>882</v>
      </c>
      <c r="C52" s="9" t="s">
        <v>883</v>
      </c>
      <c r="D52" s="9" t="s">
        <v>884</v>
      </c>
      <c r="E52" s="9" t="s">
        <v>885</v>
      </c>
      <c r="F52" s="9" t="s">
        <v>886</v>
      </c>
      <c r="G52" s="9" t="s">
        <v>888</v>
      </c>
      <c r="L52" s="20">
        <f>$I$9*$L$9</f>
        <v>0</v>
      </c>
      <c r="M52" s="20">
        <f>$I$9*$M$9</f>
        <v>0</v>
      </c>
      <c r="N52" s="20">
        <f>$I$9*$N$9</f>
        <v>0</v>
      </c>
      <c r="O52" s="20">
        <f>$I$9*$O$9</f>
        <v>0</v>
      </c>
      <c r="P52" s="20">
        <f>$I$9*$P$9</f>
        <v>0</v>
      </c>
      <c r="Q52" s="20">
        <f>$I$9*$Q$9</f>
        <v>52.49583187641467</v>
      </c>
      <c r="R52" s="20">
        <f>$I$9*$R$9</f>
        <v>0</v>
      </c>
      <c r="S52" s="20">
        <f>$I$9*$S$9</f>
        <v>0</v>
      </c>
      <c r="T52" s="20">
        <f>$I$9*$T$9</f>
        <v>0</v>
      </c>
      <c r="U52" s="20">
        <f>$I$9*$U$9</f>
        <v>0</v>
      </c>
      <c r="V52" s="20">
        <f>$I$9*$V$9</f>
        <v>0</v>
      </c>
      <c r="X52" s="20">
        <f>$I$9*$X$9</f>
        <v>0</v>
      </c>
      <c r="Y52" s="20">
        <f>$I$9*$Y$9</f>
        <v>0</v>
      </c>
      <c r="Z52" s="20">
        <f>$I$9*$Z$9</f>
        <v>0</v>
      </c>
      <c r="AA52" s="20">
        <f>$I$9*$AA$9</f>
        <v>0</v>
      </c>
      <c r="AB52" s="20">
        <f>$I$9*$AB$9</f>
        <v>0</v>
      </c>
      <c r="AC52" s="20">
        <f>$I$9*$AC$9</f>
        <v>43.211332272577962</v>
      </c>
      <c r="AD52" s="20">
        <f>$I$9*$AD$9</f>
        <v>0</v>
      </c>
      <c r="AE52" s="20">
        <f>$I$9*$AE$9</f>
        <v>0</v>
      </c>
      <c r="AF52" s="20">
        <f>$I$9*$AF$9</f>
        <v>0</v>
      </c>
      <c r="AG52" s="20">
        <f>$I$9*$AG$9</f>
        <v>0</v>
      </c>
      <c r="AH52" s="20">
        <f>$I$9*$AH$9</f>
        <v>0</v>
      </c>
    </row>
    <row r="53" spans="1:34" ht="11.25" customHeight="1" x14ac:dyDescent="0.3">
      <c r="A53" s="9" t="s">
        <v>22</v>
      </c>
      <c r="B53" s="9" t="s">
        <v>882</v>
      </c>
      <c r="C53" s="9" t="s">
        <v>883</v>
      </c>
      <c r="D53" s="9" t="s">
        <v>884</v>
      </c>
      <c r="E53" s="9" t="s">
        <v>885</v>
      </c>
      <c r="F53" s="9" t="s">
        <v>886</v>
      </c>
      <c r="G53" s="9" t="s">
        <v>889</v>
      </c>
      <c r="L53" s="20">
        <f>$I$10*$L$10</f>
        <v>0</v>
      </c>
      <c r="M53" s="20">
        <f>$I$10*$M$10</f>
        <v>0</v>
      </c>
      <c r="N53" s="20">
        <f>$I$10*$N$10</f>
        <v>0</v>
      </c>
      <c r="O53" s="20">
        <f>$I$10*$O$10</f>
        <v>0</v>
      </c>
      <c r="P53" s="20">
        <f>$I$10*$P$10</f>
        <v>0</v>
      </c>
      <c r="Q53" s="20">
        <f>$I$10*$Q$10</f>
        <v>137.56600045563022</v>
      </c>
      <c r="R53" s="20">
        <f>$I$10*$R$10</f>
        <v>0</v>
      </c>
      <c r="S53" s="20">
        <f>$I$10*$S$10</f>
        <v>0</v>
      </c>
      <c r="T53" s="20">
        <f>$I$10*$T$10</f>
        <v>0</v>
      </c>
      <c r="U53" s="20">
        <f>$I$10*$U$10</f>
        <v>0</v>
      </c>
      <c r="V53" s="20">
        <f>$I$10*$V$10</f>
        <v>0</v>
      </c>
      <c r="X53" s="20">
        <f>$I$10*$X$10</f>
        <v>0</v>
      </c>
      <c r="Y53" s="20">
        <f>$I$10*$Y$10</f>
        <v>0</v>
      </c>
      <c r="Z53" s="20">
        <f>$I$10*$Z$10</f>
        <v>0</v>
      </c>
      <c r="AA53" s="20">
        <f>$I$10*$AA$10</f>
        <v>0</v>
      </c>
      <c r="AB53" s="20">
        <f>$I$10*$AB$10</f>
        <v>0</v>
      </c>
      <c r="AC53" s="20">
        <f>$I$10*$AC$10</f>
        <v>113.23585021172991</v>
      </c>
      <c r="AD53" s="20">
        <f>$I$10*$AD$10</f>
        <v>0</v>
      </c>
      <c r="AE53" s="20">
        <f>$I$10*$AE$10</f>
        <v>0</v>
      </c>
      <c r="AF53" s="20">
        <f>$I$10*$AF$10</f>
        <v>0</v>
      </c>
      <c r="AG53" s="20">
        <f>$I$10*$AG$10</f>
        <v>0</v>
      </c>
      <c r="AH53" s="20">
        <f>$I$10*$AH$10</f>
        <v>0</v>
      </c>
    </row>
    <row r="54" spans="1:34" ht="11.25" customHeight="1" x14ac:dyDescent="0.3">
      <c r="A54" s="9" t="s">
        <v>22</v>
      </c>
      <c r="B54" s="9" t="s">
        <v>890</v>
      </c>
      <c r="C54" s="9" t="s">
        <v>891</v>
      </c>
      <c r="D54" s="9" t="s">
        <v>892</v>
      </c>
      <c r="E54" s="9" t="s">
        <v>893</v>
      </c>
      <c r="F54" s="9" t="s">
        <v>894</v>
      </c>
      <c r="G54" s="9" t="s">
        <v>895</v>
      </c>
      <c r="L54" s="20">
        <f>$I$11*$L$11</f>
        <v>0</v>
      </c>
      <c r="M54" s="20">
        <f>$I$11*$M$11</f>
        <v>0</v>
      </c>
      <c r="N54" s="20">
        <f>$I$11*$N$11</f>
        <v>0</v>
      </c>
      <c r="O54" s="20">
        <f>$I$11*$O$11</f>
        <v>0</v>
      </c>
      <c r="P54" s="20">
        <f>$I$11*$P$11</f>
        <v>0</v>
      </c>
      <c r="Q54" s="20">
        <f>$I$11*$Q$11</f>
        <v>1422681.4634008866</v>
      </c>
      <c r="R54" s="20">
        <f>$I$11*$R$11</f>
        <v>0</v>
      </c>
      <c r="S54" s="20">
        <f>$I$11*$S$11</f>
        <v>0</v>
      </c>
      <c r="T54" s="20">
        <f>$I$11*$T$11</f>
        <v>0</v>
      </c>
      <c r="U54" s="20">
        <f>$I$11*$U$11</f>
        <v>0</v>
      </c>
      <c r="V54" s="20">
        <f>$I$11*$V$11</f>
        <v>0</v>
      </c>
      <c r="X54" s="20">
        <f>$I$11*$X$11</f>
        <v>0</v>
      </c>
      <c r="Y54" s="20">
        <f>$I$11*$Y$11</f>
        <v>0</v>
      </c>
      <c r="Z54" s="20">
        <f>$I$11*$Z$11</f>
        <v>0</v>
      </c>
      <c r="AA54" s="20">
        <f>$I$11*$AA$11</f>
        <v>0</v>
      </c>
      <c r="AB54" s="20">
        <f>$I$11*$AB$11</f>
        <v>0</v>
      </c>
      <c r="AC54" s="20">
        <f>$I$11*$AC$11</f>
        <v>1171063.6680218624</v>
      </c>
      <c r="AD54" s="20">
        <f>$I$11*$AD$11</f>
        <v>0</v>
      </c>
      <c r="AE54" s="20">
        <f>$I$11*$AE$11</f>
        <v>0</v>
      </c>
      <c r="AF54" s="20">
        <f>$I$11*$AF$11</f>
        <v>0</v>
      </c>
      <c r="AG54" s="20">
        <f>$I$11*$AG$11</f>
        <v>0</v>
      </c>
      <c r="AH54" s="20">
        <f>$I$11*$AH$11</f>
        <v>0</v>
      </c>
    </row>
    <row r="55" spans="1:34" ht="11.25" customHeight="1" x14ac:dyDescent="0.3">
      <c r="A55" s="9" t="s">
        <v>22</v>
      </c>
      <c r="B55" s="9" t="s">
        <v>890</v>
      </c>
      <c r="C55" s="9" t="s">
        <v>891</v>
      </c>
      <c r="D55" s="9" t="s">
        <v>896</v>
      </c>
      <c r="E55" s="9" t="s">
        <v>897</v>
      </c>
      <c r="F55" s="9" t="s">
        <v>898</v>
      </c>
      <c r="G55" s="9" t="s">
        <v>899</v>
      </c>
      <c r="L55" s="20">
        <f>$I$12*$L$12</f>
        <v>0</v>
      </c>
      <c r="M55" s="20">
        <f>$I$12*$M$12</f>
        <v>0</v>
      </c>
      <c r="N55" s="20">
        <f>$I$12*$N$12</f>
        <v>0</v>
      </c>
      <c r="O55" s="20">
        <f>$I$12*$O$12</f>
        <v>0</v>
      </c>
      <c r="P55" s="20">
        <f>$I$12*$P$12</f>
        <v>0</v>
      </c>
      <c r="Q55" s="20">
        <f>$I$12*$Q$12</f>
        <v>5070.7204661097221</v>
      </c>
      <c r="R55" s="20">
        <f>$I$12*$R$12</f>
        <v>0</v>
      </c>
      <c r="S55" s="20">
        <f>$I$12*$S$12</f>
        <v>0</v>
      </c>
      <c r="T55" s="20">
        <f>$I$12*$T$12</f>
        <v>0</v>
      </c>
      <c r="U55" s="20">
        <f>$I$12*$U$12</f>
        <v>0</v>
      </c>
      <c r="V55" s="20">
        <f>$I$12*$V$12</f>
        <v>0</v>
      </c>
      <c r="X55" s="20">
        <f>$I$12*$X$12</f>
        <v>0</v>
      </c>
      <c r="Y55" s="20">
        <f>$I$12*$Y$12</f>
        <v>0</v>
      </c>
      <c r="Z55" s="20">
        <f>$I$12*$Z$12</f>
        <v>0</v>
      </c>
      <c r="AA55" s="20">
        <f>$I$12*$AA$12</f>
        <v>0</v>
      </c>
      <c r="AB55" s="20">
        <f>$I$12*$AB$12</f>
        <v>0</v>
      </c>
      <c r="AC55" s="20">
        <f>$I$12*$AC$12</f>
        <v>4173.9044623249656</v>
      </c>
      <c r="AD55" s="20">
        <f>$I$12*$AD$12</f>
        <v>0</v>
      </c>
      <c r="AE55" s="20">
        <f>$I$12*$AE$12</f>
        <v>0</v>
      </c>
      <c r="AF55" s="20">
        <f>$I$12*$AF$12</f>
        <v>0</v>
      </c>
      <c r="AG55" s="20">
        <f>$I$12*$AG$12</f>
        <v>0</v>
      </c>
      <c r="AH55" s="20">
        <f>$I$12*$AH$12</f>
        <v>0</v>
      </c>
    </row>
    <row r="56" spans="1:34" ht="11.25" customHeight="1" x14ac:dyDescent="0.3">
      <c r="A56" s="9" t="s">
        <v>22</v>
      </c>
      <c r="B56" s="9" t="s">
        <v>890</v>
      </c>
      <c r="C56" s="9" t="s">
        <v>891</v>
      </c>
      <c r="D56" s="9" t="s">
        <v>900</v>
      </c>
      <c r="E56" s="9" t="s">
        <v>901</v>
      </c>
      <c r="F56" s="9" t="s">
        <v>902</v>
      </c>
      <c r="G56" s="9" t="s">
        <v>903</v>
      </c>
      <c r="L56" s="20">
        <f>$I$13*$L$13</f>
        <v>0</v>
      </c>
      <c r="M56" s="20">
        <f>$I$13*$M$13</f>
        <v>0</v>
      </c>
      <c r="N56" s="20">
        <f>$I$13*$N$13</f>
        <v>0</v>
      </c>
      <c r="O56" s="20">
        <f>$I$13*$O$13</f>
        <v>0</v>
      </c>
      <c r="P56" s="20">
        <f>$I$13*$P$13</f>
        <v>0</v>
      </c>
      <c r="Q56" s="20">
        <f>$I$13*$Q$13</f>
        <v>17260.306469692056</v>
      </c>
      <c r="R56" s="20">
        <f>$I$13*$R$13</f>
        <v>0</v>
      </c>
      <c r="S56" s="20">
        <f>$I$13*$S$13</f>
        <v>0</v>
      </c>
      <c r="T56" s="20">
        <f>$I$13*$T$13</f>
        <v>0</v>
      </c>
      <c r="U56" s="20">
        <f>$I$13*$U$13</f>
        <v>0</v>
      </c>
      <c r="V56" s="20">
        <f>$I$13*$V$13</f>
        <v>0</v>
      </c>
      <c r="X56" s="20">
        <f>$I$13*$X$13</f>
        <v>0</v>
      </c>
      <c r="Y56" s="20">
        <f>$I$13*$Y$13</f>
        <v>0</v>
      </c>
      <c r="Z56" s="20">
        <f>$I$13*$Z$13</f>
        <v>0</v>
      </c>
      <c r="AA56" s="20">
        <f>$I$13*$AA$13</f>
        <v>0</v>
      </c>
      <c r="AB56" s="20">
        <f>$I$13*$AB$13</f>
        <v>0</v>
      </c>
      <c r="AC56" s="20">
        <f>$I$13*$AC$13</f>
        <v>14207.620135332723</v>
      </c>
      <c r="AD56" s="20">
        <f>$I$13*$AD$13</f>
        <v>0</v>
      </c>
      <c r="AE56" s="20">
        <f>$I$13*$AE$13</f>
        <v>0</v>
      </c>
      <c r="AF56" s="20">
        <f>$I$13*$AF$13</f>
        <v>0</v>
      </c>
      <c r="AG56" s="20">
        <f>$I$13*$AG$13</f>
        <v>0</v>
      </c>
      <c r="AH56" s="20">
        <f>$I$13*$AH$13</f>
        <v>0</v>
      </c>
    </row>
    <row r="57" spans="1:34" ht="11.25" customHeight="1" x14ac:dyDescent="0.3">
      <c r="A57" s="9" t="s">
        <v>22</v>
      </c>
      <c r="B57" s="9" t="s">
        <v>890</v>
      </c>
      <c r="C57" s="9" t="s">
        <v>891</v>
      </c>
      <c r="D57" s="9" t="s">
        <v>904</v>
      </c>
      <c r="E57" s="9" t="s">
        <v>905</v>
      </c>
      <c r="F57" s="9" t="s">
        <v>906</v>
      </c>
      <c r="G57" s="9" t="s">
        <v>907</v>
      </c>
      <c r="L57" s="20">
        <f>$I$14*$L$14</f>
        <v>0</v>
      </c>
      <c r="M57" s="20">
        <f>$I$14*$M$14</f>
        <v>0</v>
      </c>
      <c r="N57" s="20">
        <f>$I$14*$N$14</f>
        <v>0</v>
      </c>
      <c r="O57" s="20">
        <f>$I$14*$O$14</f>
        <v>0</v>
      </c>
      <c r="P57" s="20">
        <f>$I$14*$P$14</f>
        <v>0</v>
      </c>
      <c r="Q57" s="20">
        <f>$I$14*$Q$14</f>
        <v>20450.599317049182</v>
      </c>
      <c r="R57" s="20">
        <f>$I$14*$R$14</f>
        <v>0</v>
      </c>
      <c r="S57" s="20">
        <f>$I$14*$S$14</f>
        <v>0</v>
      </c>
      <c r="T57" s="20">
        <f>$I$14*$T$14</f>
        <v>0</v>
      </c>
      <c r="U57" s="20">
        <f>$I$14*$U$14</f>
        <v>0</v>
      </c>
      <c r="V57" s="20">
        <f>$I$14*$V$14</f>
        <v>0</v>
      </c>
      <c r="X57" s="20">
        <f>$I$14*$X$14</f>
        <v>0</v>
      </c>
      <c r="Y57" s="20">
        <f>$I$14*$Y$14</f>
        <v>0</v>
      </c>
      <c r="Z57" s="20">
        <f>$I$14*$Z$14</f>
        <v>0</v>
      </c>
      <c r="AA57" s="20">
        <f>$I$14*$AA$14</f>
        <v>0</v>
      </c>
      <c r="AB57" s="20">
        <f>$I$14*$AB$14</f>
        <v>0</v>
      </c>
      <c r="AC57" s="20">
        <f>$I$14*$AC$14</f>
        <v>16833.672515996375</v>
      </c>
      <c r="AD57" s="20">
        <f>$I$14*$AD$14</f>
        <v>0</v>
      </c>
      <c r="AE57" s="20">
        <f>$I$14*$AE$14</f>
        <v>0</v>
      </c>
      <c r="AF57" s="20">
        <f>$I$14*$AF$14</f>
        <v>0</v>
      </c>
      <c r="AG57" s="20">
        <f>$I$14*$AG$14</f>
        <v>0</v>
      </c>
      <c r="AH57" s="20">
        <f>$I$14*$AH$14</f>
        <v>0</v>
      </c>
    </row>
    <row r="58" spans="1:34" ht="11.25" customHeight="1" x14ac:dyDescent="0.3">
      <c r="A58" s="9" t="s">
        <v>22</v>
      </c>
      <c r="B58" s="9" t="s">
        <v>890</v>
      </c>
      <c r="C58" s="9" t="s">
        <v>891</v>
      </c>
      <c r="D58" s="9" t="s">
        <v>908</v>
      </c>
      <c r="E58" s="9" t="s">
        <v>909</v>
      </c>
      <c r="F58" s="9" t="s">
        <v>910</v>
      </c>
      <c r="G58" s="9" t="s">
        <v>911</v>
      </c>
      <c r="L58" s="20">
        <f>$I$15*$L$15</f>
        <v>0</v>
      </c>
      <c r="M58" s="20">
        <f>$I$15*$M$15</f>
        <v>0</v>
      </c>
      <c r="N58" s="20">
        <f>$I$15*$N$15</f>
        <v>0</v>
      </c>
      <c r="O58" s="20">
        <f>$I$15*$O$15</f>
        <v>0</v>
      </c>
      <c r="P58" s="20">
        <f>$I$15*$P$15</f>
        <v>0</v>
      </c>
      <c r="Q58" s="20">
        <f>$I$15*$Q$15</f>
        <v>5128.4389602343554</v>
      </c>
      <c r="R58" s="20">
        <f>$I$15*$R$15</f>
        <v>0</v>
      </c>
      <c r="S58" s="20">
        <f>$I$15*$S$15</f>
        <v>0</v>
      </c>
      <c r="T58" s="20">
        <f>$I$15*$T$15</f>
        <v>0</v>
      </c>
      <c r="U58" s="20">
        <f>$I$15*$U$15</f>
        <v>0</v>
      </c>
      <c r="V58" s="20">
        <f>$I$15*$V$15</f>
        <v>0</v>
      </c>
      <c r="X58" s="20">
        <f>$I$15*$X$15</f>
        <v>0</v>
      </c>
      <c r="Y58" s="20">
        <f>$I$15*$Y$15</f>
        <v>0</v>
      </c>
      <c r="Z58" s="20">
        <f>$I$15*$Z$15</f>
        <v>0</v>
      </c>
      <c r="AA58" s="20">
        <f>$I$15*$AA$15</f>
        <v>0</v>
      </c>
      <c r="AB58" s="20">
        <f>$I$15*$AB$15</f>
        <v>0</v>
      </c>
      <c r="AC58" s="20">
        <f>$I$15*$AC$15</f>
        <v>4221.4147681672312</v>
      </c>
      <c r="AD58" s="20">
        <f>$I$15*$AD$15</f>
        <v>0</v>
      </c>
      <c r="AE58" s="20">
        <f>$I$15*$AE$15</f>
        <v>0</v>
      </c>
      <c r="AF58" s="20">
        <f>$I$15*$AF$15</f>
        <v>0</v>
      </c>
      <c r="AG58" s="20">
        <f>$I$15*$AG$15</f>
        <v>0</v>
      </c>
      <c r="AH58" s="20">
        <f>$I$15*$AH$15</f>
        <v>0</v>
      </c>
    </row>
    <row r="59" spans="1:34" ht="11.25" customHeight="1" x14ac:dyDescent="0.3">
      <c r="A59" s="9" t="s">
        <v>22</v>
      </c>
      <c r="B59" s="9" t="s">
        <v>912</v>
      </c>
      <c r="C59" s="9" t="s">
        <v>913</v>
      </c>
      <c r="D59" s="9" t="s">
        <v>914</v>
      </c>
      <c r="E59" s="9" t="s">
        <v>915</v>
      </c>
      <c r="F59" s="9" t="s">
        <v>916</v>
      </c>
      <c r="G59" s="9" t="s">
        <v>917</v>
      </c>
      <c r="L59" s="20">
        <f>$I$16*$L$16</f>
        <v>0</v>
      </c>
      <c r="M59" s="20">
        <f>$I$16*$M$16</f>
        <v>0</v>
      </c>
      <c r="N59" s="20">
        <f>$I$16*$N$16</f>
        <v>0</v>
      </c>
      <c r="O59" s="20">
        <f>$I$16*$O$16</f>
        <v>0</v>
      </c>
      <c r="P59" s="20">
        <f>$I$16*$P$16</f>
        <v>0</v>
      </c>
      <c r="Q59" s="20">
        <f>$I$16*$Q$16</f>
        <v>0</v>
      </c>
      <c r="R59" s="20">
        <f>$I$16*$R$16</f>
        <v>0</v>
      </c>
      <c r="S59" s="20">
        <f>$I$16*$S$16</f>
        <v>0</v>
      </c>
      <c r="T59" s="20">
        <f>$I$16*$T$16</f>
        <v>0</v>
      </c>
      <c r="U59" s="20">
        <f>$I$16*$U$16</f>
        <v>0</v>
      </c>
      <c r="V59" s="20">
        <f>$I$16*$V$16</f>
        <v>0</v>
      </c>
      <c r="X59" s="20">
        <f>$I$16*$X$16</f>
        <v>0</v>
      </c>
      <c r="Y59" s="20">
        <f>$I$16*$Y$16</f>
        <v>0</v>
      </c>
      <c r="Z59" s="20">
        <f>$I$16*$Z$16</f>
        <v>0</v>
      </c>
      <c r="AA59" s="20">
        <f>$I$16*$AA$16</f>
        <v>0</v>
      </c>
      <c r="AB59" s="20">
        <f>$I$16*$AB$16</f>
        <v>0</v>
      </c>
      <c r="AC59" s="20">
        <f>$I$16*$AC$16</f>
        <v>0</v>
      </c>
      <c r="AD59" s="20">
        <f>$I$16*$AD$16</f>
        <v>0</v>
      </c>
      <c r="AE59" s="20">
        <f>$I$16*$AE$16</f>
        <v>0</v>
      </c>
      <c r="AF59" s="20">
        <f>$I$16*$AF$16</f>
        <v>0</v>
      </c>
      <c r="AG59" s="20">
        <f>$I$16*$AG$16</f>
        <v>0</v>
      </c>
      <c r="AH59" s="20">
        <f>$I$16*$AH$16</f>
        <v>0</v>
      </c>
    </row>
    <row r="60" spans="1:34" ht="11.25" customHeight="1" x14ac:dyDescent="0.3">
      <c r="A60" s="9" t="s">
        <v>22</v>
      </c>
      <c r="B60" s="9" t="s">
        <v>912</v>
      </c>
      <c r="C60" s="9" t="s">
        <v>913</v>
      </c>
      <c r="D60" s="9" t="s">
        <v>918</v>
      </c>
      <c r="E60" s="9" t="s">
        <v>919</v>
      </c>
      <c r="F60" s="9" t="s">
        <v>920</v>
      </c>
      <c r="G60" s="9" t="s">
        <v>921</v>
      </c>
      <c r="L60" s="20">
        <f>$I$17*$L$17</f>
        <v>0</v>
      </c>
      <c r="M60" s="20">
        <f>$I$17*$M$17</f>
        <v>0</v>
      </c>
      <c r="N60" s="20">
        <f>$I$17*$N$17</f>
        <v>0</v>
      </c>
      <c r="O60" s="20">
        <f>$I$17*$O$17</f>
        <v>0</v>
      </c>
      <c r="P60" s="20">
        <f>$I$17*$P$17</f>
        <v>0</v>
      </c>
      <c r="Q60" s="20">
        <f>$I$17*$Q$17</f>
        <v>0</v>
      </c>
      <c r="R60" s="20">
        <f>$I$17*$R$17</f>
        <v>0</v>
      </c>
      <c r="S60" s="20">
        <f>$I$17*$S$17</f>
        <v>0</v>
      </c>
      <c r="T60" s="20">
        <f>$I$17*$T$17</f>
        <v>0</v>
      </c>
      <c r="U60" s="20">
        <f>$I$17*$U$17</f>
        <v>0</v>
      </c>
      <c r="V60" s="20">
        <f>$I$17*$V$17</f>
        <v>0</v>
      </c>
      <c r="X60" s="20">
        <f>$I$17*$X$17</f>
        <v>0</v>
      </c>
      <c r="Y60" s="20">
        <f>$I$17*$Y$17</f>
        <v>0</v>
      </c>
      <c r="Z60" s="20">
        <f>$I$17*$Z$17</f>
        <v>0</v>
      </c>
      <c r="AA60" s="20">
        <f>$I$17*$AA$17</f>
        <v>0</v>
      </c>
      <c r="AB60" s="20">
        <f>$I$17*$AB$17</f>
        <v>0</v>
      </c>
      <c r="AC60" s="20">
        <f>$I$17*$AC$17</f>
        <v>0</v>
      </c>
      <c r="AD60" s="20">
        <f>$I$17*$AD$17</f>
        <v>0</v>
      </c>
      <c r="AE60" s="20">
        <f>$I$17*$AE$17</f>
        <v>0</v>
      </c>
      <c r="AF60" s="20">
        <f>$I$17*$AF$17</f>
        <v>0</v>
      </c>
      <c r="AG60" s="20">
        <f>$I$17*$AG$17</f>
        <v>0</v>
      </c>
      <c r="AH60" s="20">
        <f>$I$17*$AH$17</f>
        <v>0</v>
      </c>
    </row>
    <row r="61" spans="1:34" ht="11.25" customHeight="1" x14ac:dyDescent="0.3">
      <c r="A61" s="9" t="s">
        <v>22</v>
      </c>
      <c r="B61" s="9" t="s">
        <v>912</v>
      </c>
      <c r="C61" s="9" t="s">
        <v>913</v>
      </c>
      <c r="D61" s="9" t="s">
        <v>922</v>
      </c>
      <c r="E61" s="9" t="s">
        <v>923</v>
      </c>
      <c r="F61" s="9" t="s">
        <v>924</v>
      </c>
      <c r="G61" s="9" t="s">
        <v>925</v>
      </c>
      <c r="L61" s="20">
        <f>$I$18*$L$18</f>
        <v>0</v>
      </c>
      <c r="M61" s="20">
        <f>$I$18*$M$18</f>
        <v>0</v>
      </c>
      <c r="N61" s="20">
        <f>$I$18*$N$18</f>
        <v>0</v>
      </c>
      <c r="O61" s="20">
        <f>$I$18*$O$18</f>
        <v>0</v>
      </c>
      <c r="P61" s="20">
        <f>$I$18*$P$18</f>
        <v>0</v>
      </c>
      <c r="Q61" s="20">
        <f>$I$18*$Q$18</f>
        <v>0</v>
      </c>
      <c r="R61" s="20">
        <f>$I$18*$R$18</f>
        <v>0</v>
      </c>
      <c r="S61" s="20">
        <f>$I$18*$S$18</f>
        <v>0</v>
      </c>
      <c r="T61" s="20">
        <f>$I$18*$T$18</f>
        <v>0</v>
      </c>
      <c r="U61" s="20">
        <f>$I$18*$U$18</f>
        <v>0</v>
      </c>
      <c r="V61" s="20">
        <f>$I$18*$V$18</f>
        <v>0</v>
      </c>
      <c r="X61" s="20">
        <f>$I$18*$X$18</f>
        <v>0</v>
      </c>
      <c r="Y61" s="20">
        <f>$I$18*$Y$18</f>
        <v>0</v>
      </c>
      <c r="Z61" s="20">
        <f>$I$18*$Z$18</f>
        <v>0</v>
      </c>
      <c r="AA61" s="20">
        <f>$I$18*$AA$18</f>
        <v>0</v>
      </c>
      <c r="AB61" s="20">
        <f>$I$18*$AB$18</f>
        <v>0</v>
      </c>
      <c r="AC61" s="20">
        <f>$I$18*$AC$18</f>
        <v>0</v>
      </c>
      <c r="AD61" s="20">
        <f>$I$18*$AD$18</f>
        <v>0</v>
      </c>
      <c r="AE61" s="20">
        <f>$I$18*$AE$18</f>
        <v>0</v>
      </c>
      <c r="AF61" s="20">
        <f>$I$18*$AF$18</f>
        <v>0</v>
      </c>
      <c r="AG61" s="20">
        <f>$I$18*$AG$18</f>
        <v>0</v>
      </c>
      <c r="AH61" s="20">
        <f>$I$18*$AH$18</f>
        <v>0</v>
      </c>
    </row>
    <row r="62" spans="1:34" ht="11.25" customHeight="1" x14ac:dyDescent="0.3">
      <c r="A62" s="9" t="s">
        <v>22</v>
      </c>
      <c r="B62" s="9" t="s">
        <v>912</v>
      </c>
      <c r="C62" s="9" t="s">
        <v>913</v>
      </c>
      <c r="D62" s="9" t="s">
        <v>926</v>
      </c>
      <c r="E62" s="9" t="s">
        <v>927</v>
      </c>
      <c r="F62" s="9" t="s">
        <v>928</v>
      </c>
      <c r="G62" s="9" t="s">
        <v>929</v>
      </c>
      <c r="L62" s="20">
        <f>$I$19*$L$19</f>
        <v>0</v>
      </c>
      <c r="M62" s="20">
        <f>$I$19*$M$19</f>
        <v>0</v>
      </c>
      <c r="N62" s="20">
        <f>$I$19*$N$19</f>
        <v>0</v>
      </c>
      <c r="O62" s="20">
        <f>$I$19*$O$19</f>
        <v>0</v>
      </c>
      <c r="P62" s="20">
        <f>$I$19*$P$19</f>
        <v>0</v>
      </c>
      <c r="Q62" s="20">
        <f>$I$19*$Q$19</f>
        <v>0</v>
      </c>
      <c r="R62" s="20">
        <f>$I$19*$R$19</f>
        <v>0</v>
      </c>
      <c r="S62" s="20">
        <f>$I$19*$S$19</f>
        <v>0</v>
      </c>
      <c r="T62" s="20">
        <f>$I$19*$T$19</f>
        <v>0</v>
      </c>
      <c r="U62" s="20">
        <f>$I$19*$U$19</f>
        <v>0</v>
      </c>
      <c r="V62" s="20">
        <f>$I$19*$V$19</f>
        <v>0</v>
      </c>
      <c r="X62" s="20">
        <f>$I$19*$X$19</f>
        <v>0</v>
      </c>
      <c r="Y62" s="20">
        <f>$I$19*$Y$19</f>
        <v>0</v>
      </c>
      <c r="Z62" s="20">
        <f>$I$19*$Z$19</f>
        <v>0</v>
      </c>
      <c r="AA62" s="20">
        <f>$I$19*$AA$19</f>
        <v>0</v>
      </c>
      <c r="AB62" s="20">
        <f>$I$19*$AB$19</f>
        <v>0</v>
      </c>
      <c r="AC62" s="20">
        <f>$I$19*$AC$19</f>
        <v>0</v>
      </c>
      <c r="AD62" s="20">
        <f>$I$19*$AD$19</f>
        <v>0</v>
      </c>
      <c r="AE62" s="20">
        <f>$I$19*$AE$19</f>
        <v>0</v>
      </c>
      <c r="AF62" s="20">
        <f>$I$19*$AF$19</f>
        <v>0</v>
      </c>
      <c r="AG62" s="20">
        <f>$I$19*$AG$19</f>
        <v>0</v>
      </c>
      <c r="AH62" s="20">
        <f>$I$19*$AH$19</f>
        <v>0</v>
      </c>
    </row>
    <row r="63" spans="1:34" ht="11.25" customHeight="1" x14ac:dyDescent="0.3">
      <c r="A63" s="9" t="s">
        <v>22</v>
      </c>
      <c r="B63" s="9" t="s">
        <v>912</v>
      </c>
      <c r="C63" s="9" t="s">
        <v>913</v>
      </c>
      <c r="D63" s="9" t="s">
        <v>930</v>
      </c>
      <c r="E63" s="9" t="s">
        <v>931</v>
      </c>
      <c r="F63" s="9" t="s">
        <v>932</v>
      </c>
      <c r="G63" s="9" t="s">
        <v>933</v>
      </c>
      <c r="L63" s="20">
        <f>$I$20*$L$20</f>
        <v>0</v>
      </c>
      <c r="M63" s="20">
        <f>$I$20*$M$20</f>
        <v>0</v>
      </c>
      <c r="N63" s="20">
        <f>$I$20*$N$20</f>
        <v>0</v>
      </c>
      <c r="O63" s="20">
        <f>$I$20*$O$20</f>
        <v>0</v>
      </c>
      <c r="P63" s="20">
        <f>$I$20*$P$20</f>
        <v>0</v>
      </c>
      <c r="Q63" s="20">
        <f>$I$20*$Q$20</f>
        <v>0</v>
      </c>
      <c r="R63" s="20">
        <f>$I$20*$R$20</f>
        <v>0</v>
      </c>
      <c r="S63" s="20">
        <f>$I$20*$S$20</f>
        <v>0</v>
      </c>
      <c r="T63" s="20">
        <f>$I$20*$T$20</f>
        <v>0</v>
      </c>
      <c r="U63" s="20">
        <f>$I$20*$U$20</f>
        <v>0</v>
      </c>
      <c r="V63" s="20">
        <f>$I$20*$V$20</f>
        <v>0</v>
      </c>
      <c r="X63" s="20">
        <f>$I$20*$X$20</f>
        <v>0</v>
      </c>
      <c r="Y63" s="20">
        <f>$I$20*$Y$20</f>
        <v>0</v>
      </c>
      <c r="Z63" s="20">
        <f>$I$20*$Z$20</f>
        <v>0</v>
      </c>
      <c r="AA63" s="20">
        <f>$I$20*$AA$20</f>
        <v>0</v>
      </c>
      <c r="AB63" s="20">
        <f>$I$20*$AB$20</f>
        <v>0</v>
      </c>
      <c r="AC63" s="20">
        <f>$I$20*$AC$20</f>
        <v>0</v>
      </c>
      <c r="AD63" s="20">
        <f>$I$20*$AD$20</f>
        <v>0</v>
      </c>
      <c r="AE63" s="20">
        <f>$I$20*$AE$20</f>
        <v>0</v>
      </c>
      <c r="AF63" s="20">
        <f>$I$20*$AF$20</f>
        <v>0</v>
      </c>
      <c r="AG63" s="20">
        <f>$I$20*$AG$20</f>
        <v>0</v>
      </c>
      <c r="AH63" s="20">
        <f>$I$20*$AH$20</f>
        <v>0</v>
      </c>
    </row>
    <row r="64" spans="1:34" ht="11.25" customHeight="1" x14ac:dyDescent="0.3">
      <c r="A64" s="9" t="s">
        <v>41</v>
      </c>
      <c r="B64" s="9" t="s">
        <v>934</v>
      </c>
      <c r="C64" s="9" t="s">
        <v>935</v>
      </c>
      <c r="D64" s="9" t="s">
        <v>936</v>
      </c>
      <c r="E64" s="9" t="s">
        <v>937</v>
      </c>
      <c r="F64" s="9" t="s">
        <v>938</v>
      </c>
      <c r="G64" s="9" t="s">
        <v>939</v>
      </c>
      <c r="L64" s="20">
        <f>$I$21*$L$21</f>
        <v>0</v>
      </c>
      <c r="M64" s="20">
        <f>$I$21*$M$21</f>
        <v>0</v>
      </c>
      <c r="N64" s="20">
        <f>$I$21*$N$21</f>
        <v>0</v>
      </c>
      <c r="O64" s="20">
        <f>$I$21*$O$21</f>
        <v>0</v>
      </c>
      <c r="P64" s="20">
        <f>$I$21*$P$21</f>
        <v>0</v>
      </c>
      <c r="Q64" s="20">
        <f>$I$21*$Q$21</f>
        <v>0</v>
      </c>
      <c r="R64" s="20">
        <f>$I$21*$R$21</f>
        <v>0</v>
      </c>
      <c r="S64" s="20">
        <f>$I$21*$S$21</f>
        <v>0</v>
      </c>
      <c r="T64" s="20">
        <f>$I$21*$T$21</f>
        <v>0</v>
      </c>
      <c r="U64" s="20">
        <f>$I$21*$U$21</f>
        <v>0</v>
      </c>
      <c r="V64" s="20">
        <f>$I$21*$V$21</f>
        <v>0</v>
      </c>
      <c r="X64" s="20">
        <f>$I$21*$X$21</f>
        <v>0</v>
      </c>
      <c r="Y64" s="20">
        <f>$I$21*$Y$21</f>
        <v>0</v>
      </c>
      <c r="Z64" s="20">
        <f>$I$21*$Z$21</f>
        <v>0</v>
      </c>
      <c r="AA64" s="20">
        <f>$I$21*$AA$21</f>
        <v>0</v>
      </c>
      <c r="AB64" s="20">
        <f>$I$21*$AB$21</f>
        <v>0</v>
      </c>
      <c r="AC64" s="20">
        <f>$I$21*$AC$21</f>
        <v>0</v>
      </c>
      <c r="AD64" s="20">
        <f>$I$21*$AD$21</f>
        <v>0</v>
      </c>
      <c r="AE64" s="20">
        <f>$I$21*$AE$21</f>
        <v>0</v>
      </c>
      <c r="AF64" s="20">
        <f>$I$21*$AF$21</f>
        <v>0</v>
      </c>
      <c r="AG64" s="20">
        <f>$I$21*$AG$21</f>
        <v>0</v>
      </c>
      <c r="AH64" s="20">
        <f>$I$21*$AH$21</f>
        <v>0</v>
      </c>
    </row>
    <row r="65" spans="1:34" ht="11.25" customHeight="1" x14ac:dyDescent="0.3">
      <c r="A65" s="9" t="s">
        <v>41</v>
      </c>
      <c r="B65" s="9" t="s">
        <v>934</v>
      </c>
      <c r="C65" s="9" t="s">
        <v>935</v>
      </c>
      <c r="D65" s="9" t="s">
        <v>936</v>
      </c>
      <c r="E65" s="9" t="s">
        <v>937</v>
      </c>
      <c r="F65" s="9" t="s">
        <v>938</v>
      </c>
      <c r="G65" s="9" t="s">
        <v>940</v>
      </c>
      <c r="L65" s="20">
        <f>$I$22*$L$22</f>
        <v>0</v>
      </c>
      <c r="M65" s="20">
        <f>$I$22*$M$22</f>
        <v>0</v>
      </c>
      <c r="N65" s="20">
        <f>$I$22*$N$22</f>
        <v>0</v>
      </c>
      <c r="O65" s="20">
        <f>$I$22*$O$22</f>
        <v>0</v>
      </c>
      <c r="P65" s="20">
        <f>$I$22*$P$22</f>
        <v>0</v>
      </c>
      <c r="Q65" s="20">
        <f>$I$22*$Q$22</f>
        <v>0</v>
      </c>
      <c r="R65" s="20">
        <f>$I$22*$R$22</f>
        <v>0</v>
      </c>
      <c r="S65" s="20">
        <f>$I$22*$S$22</f>
        <v>0</v>
      </c>
      <c r="T65" s="20">
        <f>$I$22*$T$22</f>
        <v>0</v>
      </c>
      <c r="U65" s="20">
        <f>$I$22*$U$22</f>
        <v>0</v>
      </c>
      <c r="V65" s="20">
        <f>$I$22*$V$22</f>
        <v>0</v>
      </c>
      <c r="X65" s="20">
        <f>$I$22*$X$22</f>
        <v>0</v>
      </c>
      <c r="Y65" s="20">
        <f>$I$22*$Y$22</f>
        <v>0</v>
      </c>
      <c r="Z65" s="20">
        <f>$I$22*$Z$22</f>
        <v>0</v>
      </c>
      <c r="AA65" s="20">
        <f>$I$22*$AA$22</f>
        <v>0</v>
      </c>
      <c r="AB65" s="20">
        <f>$I$22*$AB$22</f>
        <v>0</v>
      </c>
      <c r="AC65" s="20">
        <f>$I$22*$AC$22</f>
        <v>0</v>
      </c>
      <c r="AD65" s="20">
        <f>$I$22*$AD$22</f>
        <v>0</v>
      </c>
      <c r="AE65" s="20">
        <f>$I$22*$AE$22</f>
        <v>0</v>
      </c>
      <c r="AF65" s="20">
        <f>$I$22*$AF$22</f>
        <v>0</v>
      </c>
      <c r="AG65" s="20">
        <f>$I$22*$AG$22</f>
        <v>0</v>
      </c>
      <c r="AH65" s="20">
        <f>$I$22*$AH$22</f>
        <v>0</v>
      </c>
    </row>
    <row r="66" spans="1:34" ht="11.25" customHeight="1" x14ac:dyDescent="0.3">
      <c r="A66" s="9" t="s">
        <v>41</v>
      </c>
      <c r="B66" s="9" t="s">
        <v>934</v>
      </c>
      <c r="C66" s="9" t="s">
        <v>935</v>
      </c>
      <c r="D66" s="9" t="s">
        <v>936</v>
      </c>
      <c r="E66" s="9" t="s">
        <v>937</v>
      </c>
      <c r="F66" s="9" t="s">
        <v>938</v>
      </c>
      <c r="G66" s="9" t="s">
        <v>941</v>
      </c>
      <c r="L66" s="20">
        <f>$I$23*$L$23</f>
        <v>0</v>
      </c>
      <c r="M66" s="20">
        <f>$I$23*$M$23</f>
        <v>0</v>
      </c>
      <c r="N66" s="20">
        <f>$I$23*$N$23</f>
        <v>0</v>
      </c>
      <c r="O66" s="20">
        <f>$I$23*$O$23</f>
        <v>0</v>
      </c>
      <c r="P66" s="20">
        <f>$I$23*$P$23</f>
        <v>0</v>
      </c>
      <c r="Q66" s="20">
        <f>$I$23*$Q$23</f>
        <v>0</v>
      </c>
      <c r="R66" s="20">
        <f>$I$23*$R$23</f>
        <v>0</v>
      </c>
      <c r="S66" s="20">
        <f>$I$23*$S$23</f>
        <v>0</v>
      </c>
      <c r="T66" s="20">
        <f>$I$23*$T$23</f>
        <v>0</v>
      </c>
      <c r="U66" s="20">
        <f>$I$23*$U$23</f>
        <v>0</v>
      </c>
      <c r="V66" s="20">
        <f>$I$23*$V$23</f>
        <v>0</v>
      </c>
      <c r="X66" s="20">
        <f>$I$23*$X$23</f>
        <v>0</v>
      </c>
      <c r="Y66" s="20">
        <f>$I$23*$Y$23</f>
        <v>0</v>
      </c>
      <c r="Z66" s="20">
        <f>$I$23*$Z$23</f>
        <v>0</v>
      </c>
      <c r="AA66" s="20">
        <f>$I$23*$AA$23</f>
        <v>0</v>
      </c>
      <c r="AB66" s="20">
        <f>$I$23*$AB$23</f>
        <v>0</v>
      </c>
      <c r="AC66" s="20">
        <f>$I$23*$AC$23</f>
        <v>0</v>
      </c>
      <c r="AD66" s="20">
        <f>$I$23*$AD$23</f>
        <v>0</v>
      </c>
      <c r="AE66" s="20">
        <f>$I$23*$AE$23</f>
        <v>0</v>
      </c>
      <c r="AF66" s="20">
        <f>$I$23*$AF$23</f>
        <v>0</v>
      </c>
      <c r="AG66" s="20">
        <f>$I$23*$AG$23</f>
        <v>0</v>
      </c>
      <c r="AH66" s="20">
        <f>$I$23*$AH$23</f>
        <v>0</v>
      </c>
    </row>
    <row r="67" spans="1:34" ht="11.25" customHeight="1" x14ac:dyDescent="0.3">
      <c r="A67" s="9" t="s">
        <v>41</v>
      </c>
      <c r="B67" s="9" t="s">
        <v>942</v>
      </c>
      <c r="C67" s="9" t="s">
        <v>943</v>
      </c>
      <c r="D67" s="9" t="s">
        <v>944</v>
      </c>
      <c r="E67" s="9" t="s">
        <v>945</v>
      </c>
      <c r="F67" s="9" t="s">
        <v>946</v>
      </c>
      <c r="G67" s="9" t="s">
        <v>947</v>
      </c>
      <c r="L67" s="20">
        <f>$I$24*$L$24</f>
        <v>0</v>
      </c>
      <c r="M67" s="20">
        <f>$I$24*$M$24</f>
        <v>0</v>
      </c>
      <c r="N67" s="20">
        <f>$I$24*$N$24</f>
        <v>0</v>
      </c>
      <c r="O67" s="20">
        <f>$I$24*$O$24</f>
        <v>0</v>
      </c>
      <c r="P67" s="20">
        <f>$I$24*$P$24</f>
        <v>0</v>
      </c>
      <c r="Q67" s="20">
        <f>$I$24*$Q$24</f>
        <v>350222.30265249033</v>
      </c>
      <c r="R67" s="20">
        <f>$I$24*$R$24</f>
        <v>0</v>
      </c>
      <c r="S67" s="20">
        <f>$I$24*$S$24</f>
        <v>0</v>
      </c>
      <c r="T67" s="20">
        <f>$I$24*$T$24</f>
        <v>0</v>
      </c>
      <c r="U67" s="20">
        <f>$I$24*$U$24</f>
        <v>0</v>
      </c>
      <c r="V67" s="20">
        <f>$I$24*$V$24</f>
        <v>0</v>
      </c>
      <c r="X67" s="20">
        <f>$I$24*$X$24</f>
        <v>0</v>
      </c>
      <c r="Y67" s="20">
        <f>$I$24*$Y$24</f>
        <v>0</v>
      </c>
      <c r="Z67" s="20">
        <f>$I$24*$Z$24</f>
        <v>0</v>
      </c>
      <c r="AA67" s="20">
        <f>$I$24*$AA$24</f>
        <v>0</v>
      </c>
      <c r="AB67" s="20">
        <f>$I$24*$AB$24</f>
        <v>0</v>
      </c>
      <c r="AC67" s="20">
        <f>$I$24*$AC$24</f>
        <v>269880.46638117434</v>
      </c>
      <c r="AD67" s="20">
        <f>$I$24*$AD$24</f>
        <v>0</v>
      </c>
      <c r="AE67" s="20">
        <f>$I$24*$AE$24</f>
        <v>0</v>
      </c>
      <c r="AF67" s="20">
        <f>$I$24*$AF$24</f>
        <v>0</v>
      </c>
      <c r="AG67" s="20">
        <f>$I$24*$AG$24</f>
        <v>0</v>
      </c>
      <c r="AH67" s="20">
        <f>$I$24*$AH$24</f>
        <v>0</v>
      </c>
    </row>
    <row r="68" spans="1:34" ht="11.25" customHeight="1" x14ac:dyDescent="0.3">
      <c r="A68" s="9" t="s">
        <v>41</v>
      </c>
      <c r="B68" s="9" t="s">
        <v>934</v>
      </c>
      <c r="C68" s="9" t="s">
        <v>935</v>
      </c>
      <c r="D68" s="9" t="s">
        <v>948</v>
      </c>
      <c r="E68" s="9" t="s">
        <v>949</v>
      </c>
      <c r="F68" s="9" t="s">
        <v>950</v>
      </c>
      <c r="G68" s="9" t="s">
        <v>951</v>
      </c>
      <c r="L68" s="20">
        <f>$I$25*$L$25</f>
        <v>0</v>
      </c>
      <c r="M68" s="20">
        <f>$I$25*$M$25</f>
        <v>0</v>
      </c>
      <c r="N68" s="20">
        <f>$I$25*$N$25</f>
        <v>0</v>
      </c>
      <c r="O68" s="20">
        <f>$I$25*$O$25</f>
        <v>0</v>
      </c>
      <c r="P68" s="20">
        <f>$I$25*$P$25</f>
        <v>0</v>
      </c>
      <c r="Q68" s="20">
        <f>$I$25*$Q$25</f>
        <v>0</v>
      </c>
      <c r="R68" s="20">
        <f>$I$25*$R$25</f>
        <v>0</v>
      </c>
      <c r="S68" s="20">
        <f>$I$25*$S$25</f>
        <v>0</v>
      </c>
      <c r="T68" s="20">
        <f>$I$25*$T$25</f>
        <v>0</v>
      </c>
      <c r="U68" s="20">
        <f>$I$25*$U$25</f>
        <v>0</v>
      </c>
      <c r="V68" s="20">
        <f>$I$25*$V$25</f>
        <v>0</v>
      </c>
      <c r="X68" s="20">
        <f>$I$25*$X$25</f>
        <v>0</v>
      </c>
      <c r="Y68" s="20">
        <f>$I$25*$Y$25</f>
        <v>0</v>
      </c>
      <c r="Z68" s="20">
        <f>$I$25*$Z$25</f>
        <v>0</v>
      </c>
      <c r="AA68" s="20">
        <f>$I$25*$AA$25</f>
        <v>0</v>
      </c>
      <c r="AB68" s="20">
        <f>$I$25*$AB$25</f>
        <v>0</v>
      </c>
      <c r="AC68" s="20">
        <f>$I$25*$AC$25</f>
        <v>0</v>
      </c>
      <c r="AD68" s="20">
        <f>$I$25*$AD$25</f>
        <v>0</v>
      </c>
      <c r="AE68" s="20">
        <f>$I$25*$AE$25</f>
        <v>0</v>
      </c>
      <c r="AF68" s="20">
        <f>$I$25*$AF$25</f>
        <v>0</v>
      </c>
      <c r="AG68" s="20">
        <f>$I$25*$AG$25</f>
        <v>0</v>
      </c>
      <c r="AH68" s="20">
        <f>$I$25*$AH$25</f>
        <v>0</v>
      </c>
    </row>
    <row r="69" spans="1:34" ht="11.25" customHeight="1" x14ac:dyDescent="0.3">
      <c r="A69" s="9" t="s">
        <v>41</v>
      </c>
      <c r="B69" s="9" t="s">
        <v>934</v>
      </c>
      <c r="C69" s="9" t="s">
        <v>935</v>
      </c>
      <c r="D69" s="9" t="s">
        <v>948</v>
      </c>
      <c r="E69" s="9" t="s">
        <v>949</v>
      </c>
      <c r="F69" s="9" t="s">
        <v>950</v>
      </c>
      <c r="G69" s="9" t="s">
        <v>952</v>
      </c>
      <c r="L69" s="20">
        <f>$I$26*$L$26</f>
        <v>0</v>
      </c>
      <c r="M69" s="20">
        <f>$I$26*$M$26</f>
        <v>0</v>
      </c>
      <c r="N69" s="20">
        <f>$I$26*$N$26</f>
        <v>0</v>
      </c>
      <c r="O69" s="20">
        <f>$I$26*$O$26</f>
        <v>0</v>
      </c>
      <c r="P69" s="20">
        <f>$I$26*$P$26</f>
        <v>0</v>
      </c>
      <c r="Q69" s="20">
        <f>$I$26*$Q$26</f>
        <v>0</v>
      </c>
      <c r="R69" s="20">
        <f>$I$26*$R$26</f>
        <v>0</v>
      </c>
      <c r="S69" s="20">
        <f>$I$26*$S$26</f>
        <v>0</v>
      </c>
      <c r="T69" s="20">
        <f>$I$26*$T$26</f>
        <v>0</v>
      </c>
      <c r="U69" s="20">
        <f>$I$26*$U$26</f>
        <v>0</v>
      </c>
      <c r="V69" s="20">
        <f>$I$26*$V$26</f>
        <v>0</v>
      </c>
      <c r="X69" s="20">
        <f>$I$26*$X$26</f>
        <v>0</v>
      </c>
      <c r="Y69" s="20">
        <f>$I$26*$Y$26</f>
        <v>0</v>
      </c>
      <c r="Z69" s="20">
        <f>$I$26*$Z$26</f>
        <v>0</v>
      </c>
      <c r="AA69" s="20">
        <f>$I$26*$AA$26</f>
        <v>0</v>
      </c>
      <c r="AB69" s="20">
        <f>$I$26*$AB$26</f>
        <v>0</v>
      </c>
      <c r="AC69" s="20">
        <f>$I$26*$AC$26</f>
        <v>0</v>
      </c>
      <c r="AD69" s="20">
        <f>$I$26*$AD$26</f>
        <v>0</v>
      </c>
      <c r="AE69" s="20">
        <f>$I$26*$AE$26</f>
        <v>0</v>
      </c>
      <c r="AF69" s="20">
        <f>$I$26*$AF$26</f>
        <v>0</v>
      </c>
      <c r="AG69" s="20">
        <f>$I$26*$AG$26</f>
        <v>0</v>
      </c>
      <c r="AH69" s="20">
        <f>$I$26*$AH$26</f>
        <v>0</v>
      </c>
    </row>
    <row r="70" spans="1:34" ht="11.25" customHeight="1" x14ac:dyDescent="0.3">
      <c r="A70" s="9" t="s">
        <v>41</v>
      </c>
      <c r="B70" s="9" t="s">
        <v>934</v>
      </c>
      <c r="C70" s="9" t="s">
        <v>935</v>
      </c>
      <c r="D70" s="9" t="s">
        <v>948</v>
      </c>
      <c r="E70" s="9" t="s">
        <v>949</v>
      </c>
      <c r="F70" s="9" t="s">
        <v>950</v>
      </c>
      <c r="G70" s="9" t="s">
        <v>953</v>
      </c>
      <c r="L70" s="20">
        <f>$I$27*$L$27</f>
        <v>0</v>
      </c>
      <c r="M70" s="20">
        <f>$I$27*$M$27</f>
        <v>0</v>
      </c>
      <c r="N70" s="20">
        <f>$I$27*$N$27</f>
        <v>0</v>
      </c>
      <c r="O70" s="20">
        <f>$I$27*$O$27</f>
        <v>0</v>
      </c>
      <c r="P70" s="20">
        <f>$I$27*$P$27</f>
        <v>0</v>
      </c>
      <c r="Q70" s="20">
        <f>$I$27*$Q$27</f>
        <v>0</v>
      </c>
      <c r="R70" s="20">
        <f>$I$27*$R$27</f>
        <v>0</v>
      </c>
      <c r="S70" s="20">
        <f>$I$27*$S$27</f>
        <v>0</v>
      </c>
      <c r="T70" s="20">
        <f>$I$27*$T$27</f>
        <v>0</v>
      </c>
      <c r="U70" s="20">
        <f>$I$27*$U$27</f>
        <v>0</v>
      </c>
      <c r="V70" s="20">
        <f>$I$27*$V$27</f>
        <v>0</v>
      </c>
      <c r="X70" s="20">
        <f>$I$27*$X$27</f>
        <v>0</v>
      </c>
      <c r="Y70" s="20">
        <f>$I$27*$Y$27</f>
        <v>0</v>
      </c>
      <c r="Z70" s="20">
        <f>$I$27*$Z$27</f>
        <v>0</v>
      </c>
      <c r="AA70" s="20">
        <f>$I$27*$AA$27</f>
        <v>0</v>
      </c>
      <c r="AB70" s="20">
        <f>$I$27*$AB$27</f>
        <v>0</v>
      </c>
      <c r="AC70" s="20">
        <f>$I$27*$AC$27</f>
        <v>0</v>
      </c>
      <c r="AD70" s="20">
        <f>$I$27*$AD$27</f>
        <v>0</v>
      </c>
      <c r="AE70" s="20">
        <f>$I$27*$AE$27</f>
        <v>0</v>
      </c>
      <c r="AF70" s="20">
        <f>$I$27*$AF$27</f>
        <v>0</v>
      </c>
      <c r="AG70" s="20">
        <f>$I$27*$AG$27</f>
        <v>0</v>
      </c>
      <c r="AH70" s="20">
        <f>$I$27*$AH$27</f>
        <v>0</v>
      </c>
    </row>
    <row r="71" spans="1:34" ht="11.25" customHeight="1" x14ac:dyDescent="0.3">
      <c r="A71" s="9" t="s">
        <v>41</v>
      </c>
      <c r="B71" s="9" t="s">
        <v>942</v>
      </c>
      <c r="C71" s="9" t="s">
        <v>943</v>
      </c>
      <c r="D71" s="9" t="s">
        <v>954</v>
      </c>
      <c r="E71" s="9" t="s">
        <v>955</v>
      </c>
      <c r="F71" s="9" t="s">
        <v>956</v>
      </c>
      <c r="G71" s="9" t="s">
        <v>957</v>
      </c>
      <c r="L71" s="20">
        <f>$I$28*$L$28</f>
        <v>0</v>
      </c>
      <c r="M71" s="20">
        <f>$I$28*$M$28</f>
        <v>0</v>
      </c>
      <c r="N71" s="20">
        <f>$I$28*$N$28</f>
        <v>0</v>
      </c>
      <c r="O71" s="20">
        <f>$I$28*$O$28</f>
        <v>0</v>
      </c>
      <c r="P71" s="20">
        <f>$I$28*$P$28</f>
        <v>0</v>
      </c>
      <c r="Q71" s="20">
        <f>$I$28*$Q$28</f>
        <v>0</v>
      </c>
      <c r="R71" s="20">
        <f>$I$28*$R$28</f>
        <v>0</v>
      </c>
      <c r="S71" s="20">
        <f>$I$28*$S$28</f>
        <v>0</v>
      </c>
      <c r="T71" s="20">
        <f>$I$28*$T$28</f>
        <v>0</v>
      </c>
      <c r="U71" s="20">
        <f>$I$28*$U$28</f>
        <v>0</v>
      </c>
      <c r="V71" s="20">
        <f>$I$28*$V$28</f>
        <v>0</v>
      </c>
      <c r="X71" s="20">
        <f>$I$28*$X$28</f>
        <v>0</v>
      </c>
      <c r="Y71" s="20">
        <f>$I$28*$Y$28</f>
        <v>0</v>
      </c>
      <c r="Z71" s="20">
        <f>$I$28*$Z$28</f>
        <v>0</v>
      </c>
      <c r="AA71" s="20">
        <f>$I$28*$AA$28</f>
        <v>0</v>
      </c>
      <c r="AB71" s="20">
        <f>$I$28*$AB$28</f>
        <v>0</v>
      </c>
      <c r="AC71" s="20">
        <f>$I$28*$AC$28</f>
        <v>0</v>
      </c>
      <c r="AD71" s="20">
        <f>$I$28*$AD$28</f>
        <v>0</v>
      </c>
      <c r="AE71" s="20">
        <f>$I$28*$AE$28</f>
        <v>0</v>
      </c>
      <c r="AF71" s="20">
        <f>$I$28*$AF$28</f>
        <v>0</v>
      </c>
      <c r="AG71" s="20">
        <f>$I$28*$AG$28</f>
        <v>0</v>
      </c>
      <c r="AH71" s="20">
        <f>$I$28*$AH$28</f>
        <v>0</v>
      </c>
    </row>
    <row r="72" spans="1:34" ht="11.25" customHeight="1" x14ac:dyDescent="0.3">
      <c r="A72" s="9" t="s">
        <v>41</v>
      </c>
      <c r="B72" s="9" t="s">
        <v>934</v>
      </c>
      <c r="C72" s="9" t="s">
        <v>935</v>
      </c>
      <c r="D72" s="9" t="s">
        <v>958</v>
      </c>
      <c r="E72" s="9" t="s">
        <v>959</v>
      </c>
      <c r="F72" s="9" t="s">
        <v>960</v>
      </c>
      <c r="G72" s="9" t="s">
        <v>961</v>
      </c>
      <c r="L72" s="20">
        <f>$I$29*$L$29</f>
        <v>0</v>
      </c>
      <c r="M72" s="20">
        <f>$I$29*$M$29</f>
        <v>0</v>
      </c>
      <c r="N72" s="20">
        <f>$I$29*$N$29</f>
        <v>0</v>
      </c>
      <c r="O72" s="20">
        <f>$I$29*$O$29</f>
        <v>0</v>
      </c>
      <c r="P72" s="20">
        <f>$I$29*$P$29</f>
        <v>0</v>
      </c>
      <c r="Q72" s="20">
        <f>$I$29*$Q$29</f>
        <v>0</v>
      </c>
      <c r="R72" s="20">
        <f>$I$29*$R$29</f>
        <v>0</v>
      </c>
      <c r="S72" s="20">
        <f>$I$29*$S$29</f>
        <v>0</v>
      </c>
      <c r="T72" s="20">
        <f>$I$29*$T$29</f>
        <v>0</v>
      </c>
      <c r="U72" s="20">
        <f>$I$29*$U$29</f>
        <v>0</v>
      </c>
      <c r="V72" s="20">
        <f>$I$29*$V$29</f>
        <v>0</v>
      </c>
      <c r="X72" s="20">
        <f>$I$29*$X$29</f>
        <v>0</v>
      </c>
      <c r="Y72" s="20">
        <f>$I$29*$Y$29</f>
        <v>0</v>
      </c>
      <c r="Z72" s="20">
        <f>$I$29*$Z$29</f>
        <v>0</v>
      </c>
      <c r="AA72" s="20">
        <f>$I$29*$AA$29</f>
        <v>0</v>
      </c>
      <c r="AB72" s="20">
        <f>$I$29*$AB$29</f>
        <v>0</v>
      </c>
      <c r="AC72" s="20">
        <f>$I$29*$AC$29</f>
        <v>0</v>
      </c>
      <c r="AD72" s="20">
        <f>$I$29*$AD$29</f>
        <v>0</v>
      </c>
      <c r="AE72" s="20">
        <f>$I$29*$AE$29</f>
        <v>0</v>
      </c>
      <c r="AF72" s="20">
        <f>$I$29*$AF$29</f>
        <v>0</v>
      </c>
      <c r="AG72" s="20">
        <f>$I$29*$AG$29</f>
        <v>0</v>
      </c>
      <c r="AH72" s="20">
        <f>$I$29*$AH$29</f>
        <v>0</v>
      </c>
    </row>
    <row r="73" spans="1:34" ht="11.25" customHeight="1" x14ac:dyDescent="0.3">
      <c r="A73" s="9" t="s">
        <v>41</v>
      </c>
      <c r="B73" s="9" t="s">
        <v>934</v>
      </c>
      <c r="C73" s="9" t="s">
        <v>935</v>
      </c>
      <c r="D73" s="9" t="s">
        <v>958</v>
      </c>
      <c r="E73" s="9" t="s">
        <v>959</v>
      </c>
      <c r="F73" s="9" t="s">
        <v>960</v>
      </c>
      <c r="G73" s="9" t="s">
        <v>962</v>
      </c>
      <c r="L73" s="20">
        <f>$I$30*$L$30</f>
        <v>0</v>
      </c>
      <c r="M73" s="20">
        <f>$I$30*$M$30</f>
        <v>0</v>
      </c>
      <c r="N73" s="20">
        <f>$I$30*$N$30</f>
        <v>0</v>
      </c>
      <c r="O73" s="20">
        <f>$I$30*$O$30</f>
        <v>0</v>
      </c>
      <c r="P73" s="20">
        <f>$I$30*$P$30</f>
        <v>0</v>
      </c>
      <c r="Q73" s="20">
        <f>$I$30*$Q$30</f>
        <v>0</v>
      </c>
      <c r="R73" s="20">
        <f>$I$30*$R$30</f>
        <v>0</v>
      </c>
      <c r="S73" s="20">
        <f>$I$30*$S$30</f>
        <v>0</v>
      </c>
      <c r="T73" s="20">
        <f>$I$30*$T$30</f>
        <v>0</v>
      </c>
      <c r="U73" s="20">
        <f>$I$30*$U$30</f>
        <v>0</v>
      </c>
      <c r="V73" s="20">
        <f>$I$30*$V$30</f>
        <v>0</v>
      </c>
      <c r="X73" s="20">
        <f>$I$30*$X$30</f>
        <v>0</v>
      </c>
      <c r="Y73" s="20">
        <f>$I$30*$Y$30</f>
        <v>0</v>
      </c>
      <c r="Z73" s="20">
        <f>$I$30*$Z$30</f>
        <v>0</v>
      </c>
      <c r="AA73" s="20">
        <f>$I$30*$AA$30</f>
        <v>0</v>
      </c>
      <c r="AB73" s="20">
        <f>$I$30*$AB$30</f>
        <v>0</v>
      </c>
      <c r="AC73" s="20">
        <f>$I$30*$AC$30</f>
        <v>0</v>
      </c>
      <c r="AD73" s="20">
        <f>$I$30*$AD$30</f>
        <v>0</v>
      </c>
      <c r="AE73" s="20">
        <f>$I$30*$AE$30</f>
        <v>0</v>
      </c>
      <c r="AF73" s="20">
        <f>$I$30*$AF$30</f>
        <v>0</v>
      </c>
      <c r="AG73" s="20">
        <f>$I$30*$AG$30</f>
        <v>0</v>
      </c>
      <c r="AH73" s="20">
        <f>$I$30*$AH$30</f>
        <v>0</v>
      </c>
    </row>
    <row r="74" spans="1:34" ht="11.25" customHeight="1" x14ac:dyDescent="0.3">
      <c r="A74" s="9" t="s">
        <v>41</v>
      </c>
      <c r="B74" s="9" t="s">
        <v>934</v>
      </c>
      <c r="C74" s="9" t="s">
        <v>935</v>
      </c>
      <c r="D74" s="9" t="s">
        <v>958</v>
      </c>
      <c r="E74" s="9" t="s">
        <v>959</v>
      </c>
      <c r="F74" s="9" t="s">
        <v>960</v>
      </c>
      <c r="G74" s="9" t="s">
        <v>963</v>
      </c>
      <c r="L74" s="20">
        <f>$I$31*$L$31</f>
        <v>0</v>
      </c>
      <c r="M74" s="20">
        <f>$I$31*$M$31</f>
        <v>0</v>
      </c>
      <c r="N74" s="20">
        <f>$I$31*$N$31</f>
        <v>0</v>
      </c>
      <c r="O74" s="20">
        <f>$I$31*$O$31</f>
        <v>0</v>
      </c>
      <c r="P74" s="20">
        <f>$I$31*$P$31</f>
        <v>0</v>
      </c>
      <c r="Q74" s="20">
        <f>$I$31*$Q$31</f>
        <v>0</v>
      </c>
      <c r="R74" s="20">
        <f>$I$31*$R$31</f>
        <v>0</v>
      </c>
      <c r="S74" s="20">
        <f>$I$31*$S$31</f>
        <v>0</v>
      </c>
      <c r="T74" s="20">
        <f>$I$31*$T$31</f>
        <v>0</v>
      </c>
      <c r="U74" s="20">
        <f>$I$31*$U$31</f>
        <v>0</v>
      </c>
      <c r="V74" s="20">
        <f>$I$31*$V$31</f>
        <v>0</v>
      </c>
      <c r="X74" s="20">
        <f>$I$31*$X$31</f>
        <v>0</v>
      </c>
      <c r="Y74" s="20">
        <f>$I$31*$Y$31</f>
        <v>0</v>
      </c>
      <c r="Z74" s="20">
        <f>$I$31*$Z$31</f>
        <v>0</v>
      </c>
      <c r="AA74" s="20">
        <f>$I$31*$AA$31</f>
        <v>0</v>
      </c>
      <c r="AB74" s="20">
        <f>$I$31*$AB$31</f>
        <v>0</v>
      </c>
      <c r="AC74" s="20">
        <f>$I$31*$AC$31</f>
        <v>0</v>
      </c>
      <c r="AD74" s="20">
        <f>$I$31*$AD$31</f>
        <v>0</v>
      </c>
      <c r="AE74" s="20">
        <f>$I$31*$AE$31</f>
        <v>0</v>
      </c>
      <c r="AF74" s="20">
        <f>$I$31*$AF$31</f>
        <v>0</v>
      </c>
      <c r="AG74" s="20">
        <f>$I$31*$AG$31</f>
        <v>0</v>
      </c>
      <c r="AH74" s="20">
        <f>$I$31*$AH$31</f>
        <v>0</v>
      </c>
    </row>
    <row r="75" spans="1:34" ht="11.25" customHeight="1" x14ac:dyDescent="0.3">
      <c r="A75" s="9" t="s">
        <v>41</v>
      </c>
      <c r="B75" s="9" t="s">
        <v>942</v>
      </c>
      <c r="C75" s="9" t="s">
        <v>943</v>
      </c>
      <c r="D75" s="9" t="s">
        <v>964</v>
      </c>
      <c r="E75" s="9" t="s">
        <v>965</v>
      </c>
      <c r="F75" s="9" t="s">
        <v>966</v>
      </c>
      <c r="G75" s="9" t="s">
        <v>967</v>
      </c>
      <c r="L75" s="20">
        <f>$I$32*$L$32</f>
        <v>0</v>
      </c>
      <c r="M75" s="20">
        <f>$I$32*$M$32</f>
        <v>0</v>
      </c>
      <c r="N75" s="20">
        <f>$I$32*$N$32</f>
        <v>0</v>
      </c>
      <c r="O75" s="20">
        <f>$I$32*$O$32</f>
        <v>0</v>
      </c>
      <c r="P75" s="20">
        <f>$I$32*$P$32</f>
        <v>0</v>
      </c>
      <c r="Q75" s="20">
        <f>$I$32*$Q$32</f>
        <v>0</v>
      </c>
      <c r="R75" s="20">
        <f>$I$32*$R$32</f>
        <v>0</v>
      </c>
      <c r="S75" s="20">
        <f>$I$32*$S$32</f>
        <v>0</v>
      </c>
      <c r="T75" s="20">
        <f>$I$32*$T$32</f>
        <v>0</v>
      </c>
      <c r="U75" s="20">
        <f>$I$32*$U$32</f>
        <v>0</v>
      </c>
      <c r="V75" s="20">
        <f>$I$32*$V$32</f>
        <v>0</v>
      </c>
      <c r="X75" s="20">
        <f>$I$32*$X$32</f>
        <v>0</v>
      </c>
      <c r="Y75" s="20">
        <f>$I$32*$Y$32</f>
        <v>0</v>
      </c>
      <c r="Z75" s="20">
        <f>$I$32*$Z$32</f>
        <v>0</v>
      </c>
      <c r="AA75" s="20">
        <f>$I$32*$AA$32</f>
        <v>0</v>
      </c>
      <c r="AB75" s="20">
        <f>$I$32*$AB$32</f>
        <v>0</v>
      </c>
      <c r="AC75" s="20">
        <f>$I$32*$AC$32</f>
        <v>0</v>
      </c>
      <c r="AD75" s="20">
        <f>$I$32*$AD$32</f>
        <v>0</v>
      </c>
      <c r="AE75" s="20">
        <f>$I$32*$AE$32</f>
        <v>0</v>
      </c>
      <c r="AF75" s="20">
        <f>$I$32*$AF$32</f>
        <v>0</v>
      </c>
      <c r="AG75" s="20">
        <f>$I$32*$AG$32</f>
        <v>0</v>
      </c>
      <c r="AH75" s="20">
        <f>$I$32*$AH$32</f>
        <v>0</v>
      </c>
    </row>
    <row r="76" spans="1:34" ht="11.25" customHeight="1" x14ac:dyDescent="0.3">
      <c r="A76" s="9" t="s">
        <v>41</v>
      </c>
      <c r="B76" s="9" t="s">
        <v>968</v>
      </c>
      <c r="C76" s="9" t="s">
        <v>969</v>
      </c>
      <c r="D76" s="9" t="s">
        <v>970</v>
      </c>
      <c r="E76" s="9" t="s">
        <v>971</v>
      </c>
      <c r="F76" s="9" t="s">
        <v>972</v>
      </c>
      <c r="G76" s="9" t="s">
        <v>973</v>
      </c>
      <c r="L76" s="20">
        <f>$I$33*$L$33</f>
        <v>0</v>
      </c>
      <c r="M76" s="20">
        <f>$I$33*$M$33</f>
        <v>0</v>
      </c>
      <c r="N76" s="20">
        <f>$I$33*$N$33</f>
        <v>0</v>
      </c>
      <c r="O76" s="20">
        <f>$I$33*$O$33</f>
        <v>0</v>
      </c>
      <c r="P76" s="20">
        <f>$I$33*$P$33</f>
        <v>0</v>
      </c>
      <c r="Q76" s="20">
        <f>$I$33*$Q$33</f>
        <v>0</v>
      </c>
      <c r="R76" s="20">
        <f>$I$33*$R$33</f>
        <v>0</v>
      </c>
      <c r="S76" s="20">
        <f>$I$33*$S$33</f>
        <v>0</v>
      </c>
      <c r="T76" s="20">
        <f>$I$33*$T$33</f>
        <v>0</v>
      </c>
      <c r="U76" s="20">
        <f>$I$33*$U$33</f>
        <v>0</v>
      </c>
      <c r="V76" s="20">
        <f>$I$33*$V$33</f>
        <v>0</v>
      </c>
      <c r="X76" s="20">
        <f>$I$33*$X$33</f>
        <v>0</v>
      </c>
      <c r="Y76" s="20">
        <f>$I$33*$Y$33</f>
        <v>0</v>
      </c>
      <c r="Z76" s="20">
        <f>$I$33*$Z$33</f>
        <v>0</v>
      </c>
      <c r="AA76" s="20">
        <f>$I$33*$AA$33</f>
        <v>0</v>
      </c>
      <c r="AB76" s="20">
        <f>$I$33*$AB$33</f>
        <v>0</v>
      </c>
      <c r="AC76" s="20">
        <f>$I$33*$AC$33</f>
        <v>0</v>
      </c>
      <c r="AD76" s="20">
        <f>$I$33*$AD$33</f>
        <v>0</v>
      </c>
      <c r="AE76" s="20">
        <f>$I$33*$AE$33</f>
        <v>0</v>
      </c>
      <c r="AF76" s="20">
        <f>$I$33*$AF$33</f>
        <v>0</v>
      </c>
      <c r="AG76" s="20">
        <f>$I$33*$AG$33</f>
        <v>0</v>
      </c>
      <c r="AH76" s="20">
        <f>$I$33*$AH$33</f>
        <v>0</v>
      </c>
    </row>
    <row r="77" spans="1:34" ht="11.25" customHeight="1" x14ac:dyDescent="0.3">
      <c r="A77" s="9" t="s">
        <v>41</v>
      </c>
      <c r="B77" s="9" t="s">
        <v>968</v>
      </c>
      <c r="C77" s="9" t="s">
        <v>969</v>
      </c>
      <c r="D77" s="9" t="s">
        <v>974</v>
      </c>
      <c r="E77" s="9" t="s">
        <v>975</v>
      </c>
      <c r="F77" s="9" t="s">
        <v>976</v>
      </c>
      <c r="G77" s="9" t="s">
        <v>977</v>
      </c>
      <c r="L77" s="20">
        <f>$I$34*$L$34</f>
        <v>0</v>
      </c>
      <c r="M77" s="20">
        <f>$I$34*$M$34</f>
        <v>0</v>
      </c>
      <c r="N77" s="20">
        <f>$I$34*$N$34</f>
        <v>0</v>
      </c>
      <c r="O77" s="20">
        <f>$I$34*$O$34</f>
        <v>0</v>
      </c>
      <c r="P77" s="20">
        <f>$I$34*$P$34</f>
        <v>0</v>
      </c>
      <c r="Q77" s="20">
        <f>$I$34*$Q$34</f>
        <v>0</v>
      </c>
      <c r="R77" s="20">
        <f>$I$34*$R$34</f>
        <v>0</v>
      </c>
      <c r="S77" s="20">
        <f>$I$34*$S$34</f>
        <v>0</v>
      </c>
      <c r="T77" s="20">
        <f>$I$34*$T$34</f>
        <v>0</v>
      </c>
      <c r="U77" s="20">
        <f>$I$34*$U$34</f>
        <v>0</v>
      </c>
      <c r="V77" s="20">
        <f>$I$34*$V$34</f>
        <v>0</v>
      </c>
      <c r="X77" s="20">
        <f>$I$34*$X$34</f>
        <v>0</v>
      </c>
      <c r="Y77" s="20">
        <f>$I$34*$Y$34</f>
        <v>0</v>
      </c>
      <c r="Z77" s="20">
        <f>$I$34*$Z$34</f>
        <v>0</v>
      </c>
      <c r="AA77" s="20">
        <f>$I$34*$AA$34</f>
        <v>0</v>
      </c>
      <c r="AB77" s="20">
        <f>$I$34*$AB$34</f>
        <v>0</v>
      </c>
      <c r="AC77" s="20">
        <f>$I$34*$AC$34</f>
        <v>0</v>
      </c>
      <c r="AD77" s="20">
        <f>$I$34*$AD$34</f>
        <v>0</v>
      </c>
      <c r="AE77" s="20">
        <f>$I$34*$AE$34</f>
        <v>0</v>
      </c>
      <c r="AF77" s="20">
        <f>$I$34*$AF$34</f>
        <v>0</v>
      </c>
      <c r="AG77" s="20">
        <f>$I$34*$AG$34</f>
        <v>0</v>
      </c>
      <c r="AH77" s="20">
        <f>$I$34*$AH$34</f>
        <v>0</v>
      </c>
    </row>
    <row r="78" spans="1:34" ht="11.25" customHeight="1" x14ac:dyDescent="0.3">
      <c r="A78" s="9" t="s">
        <v>41</v>
      </c>
      <c r="B78" s="9" t="s">
        <v>968</v>
      </c>
      <c r="C78" s="9" t="s">
        <v>969</v>
      </c>
      <c r="D78" s="9" t="s">
        <v>978</v>
      </c>
      <c r="E78" s="9" t="s">
        <v>979</v>
      </c>
      <c r="F78" s="9" t="s">
        <v>980</v>
      </c>
      <c r="G78" s="9" t="s">
        <v>981</v>
      </c>
      <c r="L78" s="20">
        <f>$I$35*$L$35</f>
        <v>0</v>
      </c>
      <c r="M78" s="20">
        <f>$I$35*$M$35</f>
        <v>0</v>
      </c>
      <c r="N78" s="20">
        <f>$I$35*$N$35</f>
        <v>0</v>
      </c>
      <c r="O78" s="20">
        <f>$I$35*$O$35</f>
        <v>0</v>
      </c>
      <c r="P78" s="20">
        <f>$I$35*$P$35</f>
        <v>0</v>
      </c>
      <c r="Q78" s="20">
        <f>$I$35*$Q$35</f>
        <v>0</v>
      </c>
      <c r="R78" s="20">
        <f>$I$35*$R$35</f>
        <v>0</v>
      </c>
      <c r="S78" s="20">
        <f>$I$35*$S$35</f>
        <v>0</v>
      </c>
      <c r="T78" s="20">
        <f>$I$35*$T$35</f>
        <v>0</v>
      </c>
      <c r="U78" s="20">
        <f>$I$35*$U$35</f>
        <v>0</v>
      </c>
      <c r="V78" s="20">
        <f>$I$35*$V$35</f>
        <v>0</v>
      </c>
      <c r="X78" s="20">
        <f>$I$35*$X$35</f>
        <v>0</v>
      </c>
      <c r="Y78" s="20">
        <f>$I$35*$Y$35</f>
        <v>0</v>
      </c>
      <c r="Z78" s="20">
        <f>$I$35*$Z$35</f>
        <v>0</v>
      </c>
      <c r="AA78" s="20">
        <f>$I$35*$AA$35</f>
        <v>0</v>
      </c>
      <c r="AB78" s="20">
        <f>$I$35*$AB$35</f>
        <v>0</v>
      </c>
      <c r="AC78" s="20">
        <f>$I$35*$AC$35</f>
        <v>0</v>
      </c>
      <c r="AD78" s="20">
        <f>$I$35*$AD$35</f>
        <v>0</v>
      </c>
      <c r="AE78" s="20">
        <f>$I$35*$AE$35</f>
        <v>0</v>
      </c>
      <c r="AF78" s="20">
        <f>$I$35*$AF$35</f>
        <v>0</v>
      </c>
      <c r="AG78" s="20">
        <f>$I$35*$AG$35</f>
        <v>0</v>
      </c>
      <c r="AH78" s="20">
        <f>$I$35*$AH$35</f>
        <v>0</v>
      </c>
    </row>
    <row r="79" spans="1:34" ht="11.25" customHeight="1" x14ac:dyDescent="0.3">
      <c r="A79" s="9" t="s">
        <v>36</v>
      </c>
      <c r="B79" s="9" t="s">
        <v>982</v>
      </c>
      <c r="C79" s="9" t="s">
        <v>983</v>
      </c>
      <c r="D79" s="9" t="s">
        <v>984</v>
      </c>
      <c r="E79" s="9" t="s">
        <v>985</v>
      </c>
      <c r="F79" s="9" t="s">
        <v>986</v>
      </c>
      <c r="G79" s="9" t="s">
        <v>987</v>
      </c>
      <c r="L79" s="20">
        <f>$I$36*$L$36</f>
        <v>0</v>
      </c>
      <c r="M79" s="20">
        <f>$I$36*$M$36</f>
        <v>0</v>
      </c>
      <c r="N79" s="20">
        <f>$I$36*$N$36</f>
        <v>0</v>
      </c>
      <c r="O79" s="20">
        <f>$I$36*$O$36</f>
        <v>0</v>
      </c>
      <c r="P79" s="20">
        <f>$I$36*$P$36</f>
        <v>0</v>
      </c>
      <c r="Q79" s="20">
        <f>$I$36*$Q$36</f>
        <v>0</v>
      </c>
      <c r="R79" s="20">
        <f>$I$36*$R$36</f>
        <v>0</v>
      </c>
      <c r="S79" s="20">
        <f>$I$36*$S$36</f>
        <v>0</v>
      </c>
      <c r="T79" s="20">
        <f>$I$36*$T$36</f>
        <v>0</v>
      </c>
      <c r="U79" s="20">
        <f>$I$36*$U$36</f>
        <v>0</v>
      </c>
      <c r="V79" s="20">
        <f>$I$36*$V$36</f>
        <v>0</v>
      </c>
      <c r="X79" s="20">
        <f>$I$36*$X$36</f>
        <v>0</v>
      </c>
      <c r="Y79" s="20">
        <f>$I$36*$Y$36</f>
        <v>0</v>
      </c>
      <c r="Z79" s="20">
        <f>$I$36*$Z$36</f>
        <v>0</v>
      </c>
      <c r="AA79" s="20">
        <f>$I$36*$AA$36</f>
        <v>0</v>
      </c>
      <c r="AB79" s="20">
        <f>$I$36*$AB$36</f>
        <v>0</v>
      </c>
      <c r="AC79" s="20">
        <f>$I$36*$AC$36</f>
        <v>0</v>
      </c>
      <c r="AD79" s="20">
        <f>$I$36*$AD$36</f>
        <v>0</v>
      </c>
      <c r="AE79" s="20">
        <f>$I$36*$AE$36</f>
        <v>0</v>
      </c>
      <c r="AF79" s="20">
        <f>$I$36*$AF$36</f>
        <v>0</v>
      </c>
      <c r="AG79" s="20">
        <f>$I$36*$AG$36</f>
        <v>0</v>
      </c>
      <c r="AH79" s="20">
        <f>$I$36*$AH$36</f>
        <v>0</v>
      </c>
    </row>
    <row r="80" spans="1:34" ht="11.25" customHeight="1" x14ac:dyDescent="0.3">
      <c r="A80" s="9" t="s">
        <v>36</v>
      </c>
      <c r="B80" s="9" t="s">
        <v>982</v>
      </c>
      <c r="C80" s="9" t="s">
        <v>983</v>
      </c>
      <c r="D80" s="9" t="s">
        <v>984</v>
      </c>
      <c r="E80" s="9" t="s">
        <v>985</v>
      </c>
      <c r="F80" s="9" t="s">
        <v>986</v>
      </c>
      <c r="G80" s="9" t="s">
        <v>988</v>
      </c>
      <c r="L80" s="20">
        <f>$I$37*$L$37</f>
        <v>0</v>
      </c>
      <c r="M80" s="20">
        <f>$I$37*$M$37</f>
        <v>0</v>
      </c>
      <c r="N80" s="20">
        <f>$I$37*$N$37</f>
        <v>0</v>
      </c>
      <c r="O80" s="20">
        <f>$I$37*$O$37</f>
        <v>0</v>
      </c>
      <c r="P80" s="20">
        <f>$I$37*$P$37</f>
        <v>0</v>
      </c>
      <c r="Q80" s="20">
        <f>$I$37*$Q$37</f>
        <v>0</v>
      </c>
      <c r="R80" s="20">
        <f>$I$37*$R$37</f>
        <v>0</v>
      </c>
      <c r="S80" s="20">
        <f>$I$37*$S$37</f>
        <v>0</v>
      </c>
      <c r="T80" s="20">
        <f>$I$37*$T$37</f>
        <v>0</v>
      </c>
      <c r="U80" s="20">
        <f>$I$37*$U$37</f>
        <v>0</v>
      </c>
      <c r="V80" s="20">
        <f>$I$37*$V$37</f>
        <v>0</v>
      </c>
      <c r="X80" s="20">
        <f>$I$37*$X$37</f>
        <v>0</v>
      </c>
      <c r="Y80" s="20">
        <f>$I$37*$Y$37</f>
        <v>0</v>
      </c>
      <c r="Z80" s="20">
        <f>$I$37*$Z$37</f>
        <v>0</v>
      </c>
      <c r="AA80" s="20">
        <f>$I$37*$AA$37</f>
        <v>0</v>
      </c>
      <c r="AB80" s="20">
        <f>$I$37*$AB$37</f>
        <v>0</v>
      </c>
      <c r="AC80" s="20">
        <f>$I$37*$AC$37</f>
        <v>0</v>
      </c>
      <c r="AD80" s="20">
        <f>$I$37*$AD$37</f>
        <v>0</v>
      </c>
      <c r="AE80" s="20">
        <f>$I$37*$AE$37</f>
        <v>0</v>
      </c>
      <c r="AF80" s="20">
        <f>$I$37*$AF$37</f>
        <v>0</v>
      </c>
      <c r="AG80" s="20">
        <f>$I$37*$AG$37</f>
        <v>0</v>
      </c>
      <c r="AH80" s="20">
        <f>$I$37*$AH$37</f>
        <v>0</v>
      </c>
    </row>
    <row r="81" spans="1:34" ht="11.25" customHeight="1" x14ac:dyDescent="0.3">
      <c r="A81" s="9" t="s">
        <v>36</v>
      </c>
      <c r="B81" s="9" t="s">
        <v>982</v>
      </c>
      <c r="C81" s="9" t="s">
        <v>983</v>
      </c>
      <c r="D81" s="9" t="s">
        <v>984</v>
      </c>
      <c r="E81" s="9" t="s">
        <v>985</v>
      </c>
      <c r="F81" s="9" t="s">
        <v>986</v>
      </c>
      <c r="G81" s="9" t="s">
        <v>989</v>
      </c>
      <c r="L81" s="20">
        <f>$I$38*$L$38</f>
        <v>0</v>
      </c>
      <c r="M81" s="20">
        <f>$I$38*$M$38</f>
        <v>0</v>
      </c>
      <c r="N81" s="20">
        <f>$I$38*$N$38</f>
        <v>0</v>
      </c>
      <c r="O81" s="20">
        <f>$I$38*$O$38</f>
        <v>0</v>
      </c>
      <c r="P81" s="20">
        <f>$I$38*$P$38</f>
        <v>0</v>
      </c>
      <c r="Q81" s="20">
        <f>$I$38*$Q$38</f>
        <v>0</v>
      </c>
      <c r="R81" s="20">
        <f>$I$38*$R$38</f>
        <v>0</v>
      </c>
      <c r="S81" s="20">
        <f>$I$38*$S$38</f>
        <v>0</v>
      </c>
      <c r="T81" s="20">
        <f>$I$38*$T$38</f>
        <v>0</v>
      </c>
      <c r="U81" s="20">
        <f>$I$38*$U$38</f>
        <v>0</v>
      </c>
      <c r="V81" s="20">
        <f>$I$38*$V$38</f>
        <v>0</v>
      </c>
      <c r="X81" s="20">
        <f>$I$38*$X$38</f>
        <v>0</v>
      </c>
      <c r="Y81" s="20">
        <f>$I$38*$Y$38</f>
        <v>0</v>
      </c>
      <c r="Z81" s="20">
        <f>$I$38*$Z$38</f>
        <v>0</v>
      </c>
      <c r="AA81" s="20">
        <f>$I$38*$AA$38</f>
        <v>0</v>
      </c>
      <c r="AB81" s="20">
        <f>$I$38*$AB$38</f>
        <v>0</v>
      </c>
      <c r="AC81" s="20">
        <f>$I$38*$AC$38</f>
        <v>0</v>
      </c>
      <c r="AD81" s="20">
        <f>$I$38*$AD$38</f>
        <v>0</v>
      </c>
      <c r="AE81" s="20">
        <f>$I$38*$AE$38</f>
        <v>0</v>
      </c>
      <c r="AF81" s="20">
        <f>$I$38*$AF$38</f>
        <v>0</v>
      </c>
      <c r="AG81" s="20">
        <f>$I$38*$AG$38</f>
        <v>0</v>
      </c>
      <c r="AH81" s="20">
        <f>$I$38*$AH$38</f>
        <v>0</v>
      </c>
    </row>
    <row r="82" spans="1:34" ht="11.25" customHeight="1" x14ac:dyDescent="0.3">
      <c r="A82" s="9" t="s">
        <v>36</v>
      </c>
      <c r="B82" s="9" t="s">
        <v>990</v>
      </c>
      <c r="C82" s="9" t="s">
        <v>991</v>
      </c>
      <c r="D82" s="9" t="s">
        <v>992</v>
      </c>
      <c r="E82" s="9" t="s">
        <v>993</v>
      </c>
      <c r="F82" s="9" t="s">
        <v>994</v>
      </c>
      <c r="G82" s="9" t="s">
        <v>995</v>
      </c>
      <c r="L82" s="20">
        <f>$I$39*$L$39</f>
        <v>0</v>
      </c>
      <c r="M82" s="20">
        <f>$I$39*$M$39</f>
        <v>0</v>
      </c>
      <c r="N82" s="20">
        <f>$I$39*$N$39</f>
        <v>0</v>
      </c>
      <c r="O82" s="20">
        <f>$I$39*$O$39</f>
        <v>0</v>
      </c>
      <c r="P82" s="20">
        <f>$I$39*$P$39</f>
        <v>0</v>
      </c>
      <c r="Q82" s="20">
        <f>$I$39*$Q$39</f>
        <v>173224.39997882189</v>
      </c>
      <c r="R82" s="20">
        <f>$I$39*$R$39</f>
        <v>0</v>
      </c>
      <c r="S82" s="20">
        <f>$I$39*$S$39</f>
        <v>0</v>
      </c>
      <c r="T82" s="20">
        <f>$I$39*$T$39</f>
        <v>0</v>
      </c>
      <c r="U82" s="20">
        <f>$I$39*$U$39</f>
        <v>0</v>
      </c>
      <c r="V82" s="20">
        <f>$I$39*$V$39</f>
        <v>0</v>
      </c>
      <c r="X82" s="20">
        <f>$I$39*$X$39</f>
        <v>0</v>
      </c>
      <c r="Y82" s="20">
        <f>$I$39*$Y$39</f>
        <v>0</v>
      </c>
      <c r="Z82" s="20">
        <f>$I$39*$Z$39</f>
        <v>0</v>
      </c>
      <c r="AA82" s="20">
        <f>$I$39*$AA$39</f>
        <v>0</v>
      </c>
      <c r="AB82" s="20">
        <f>$I$39*$AB$39</f>
        <v>0</v>
      </c>
      <c r="AC82" s="20">
        <f>$I$39*$AC$39</f>
        <v>142587.64625017394</v>
      </c>
      <c r="AD82" s="20">
        <f>$I$39*$AD$39</f>
        <v>0</v>
      </c>
      <c r="AE82" s="20">
        <f>$I$39*$AE$39</f>
        <v>0</v>
      </c>
      <c r="AF82" s="20">
        <f>$I$39*$AF$39</f>
        <v>0</v>
      </c>
      <c r="AG82" s="20">
        <f>$I$39*$AG$39</f>
        <v>0</v>
      </c>
      <c r="AH82" s="20">
        <f>$I$39*$AH$39</f>
        <v>0</v>
      </c>
    </row>
    <row r="83" spans="1:34" ht="11.25" customHeight="1" x14ac:dyDescent="0.3">
      <c r="A83" s="9" t="s">
        <v>36</v>
      </c>
      <c r="B83" s="9" t="s">
        <v>996</v>
      </c>
      <c r="C83" s="9" t="s">
        <v>997</v>
      </c>
      <c r="D83" s="9" t="s">
        <v>998</v>
      </c>
      <c r="E83" s="9" t="s">
        <v>999</v>
      </c>
      <c r="F83" s="9" t="s">
        <v>1000</v>
      </c>
      <c r="G83" s="9" t="s">
        <v>1001</v>
      </c>
      <c r="L83" s="20">
        <f>$I$40*$L$40</f>
        <v>0</v>
      </c>
      <c r="M83" s="20">
        <f>$I$40*$M$40</f>
        <v>0</v>
      </c>
      <c r="N83" s="20">
        <f>$I$40*$N$40</f>
        <v>0</v>
      </c>
      <c r="O83" s="20">
        <f>$I$40*$O$40</f>
        <v>0</v>
      </c>
      <c r="P83" s="20">
        <f>$I$40*$P$40</f>
        <v>0</v>
      </c>
      <c r="Q83" s="20">
        <f>$I$40*$Q$40</f>
        <v>0</v>
      </c>
      <c r="R83" s="20">
        <f>$I$40*$R$40</f>
        <v>0</v>
      </c>
      <c r="S83" s="20">
        <f>$I$40*$S$40</f>
        <v>0</v>
      </c>
      <c r="T83" s="20">
        <f>$I$40*$T$40</f>
        <v>0</v>
      </c>
      <c r="U83" s="20">
        <f>$I$40*$U$40</f>
        <v>0</v>
      </c>
      <c r="V83" s="20">
        <f>$I$40*$V$40</f>
        <v>0</v>
      </c>
      <c r="X83" s="20">
        <f>$I$40*$X$40</f>
        <v>0</v>
      </c>
      <c r="Y83" s="20">
        <f>$I$40*$Y$40</f>
        <v>0</v>
      </c>
      <c r="Z83" s="20">
        <f>$I$40*$Z$40</f>
        <v>0</v>
      </c>
      <c r="AA83" s="20">
        <f>$I$40*$AA$40</f>
        <v>0</v>
      </c>
      <c r="AB83" s="20">
        <f>$I$40*$AB$40</f>
        <v>0</v>
      </c>
      <c r="AC83" s="20">
        <f>$I$40*$AC$40</f>
        <v>0</v>
      </c>
      <c r="AD83" s="20">
        <f>$I$40*$AD$40</f>
        <v>0</v>
      </c>
      <c r="AE83" s="20">
        <f>$I$40*$AE$40</f>
        <v>0</v>
      </c>
      <c r="AF83" s="20">
        <f>$I$40*$AF$40</f>
        <v>0</v>
      </c>
      <c r="AG83" s="20">
        <f>$I$40*$AG$40</f>
        <v>0</v>
      </c>
      <c r="AH83" s="20">
        <f>$I$40*$AH$40</f>
        <v>0</v>
      </c>
    </row>
    <row r="84" spans="1:34" ht="11.25" customHeight="1" x14ac:dyDescent="0.3">
      <c r="A84" s="9" t="s">
        <v>44</v>
      </c>
      <c r="B84" s="9" t="s">
        <v>1002</v>
      </c>
      <c r="C84" s="9" t="s">
        <v>1003</v>
      </c>
      <c r="D84" s="9" t="s">
        <v>1004</v>
      </c>
      <c r="E84" s="9" t="s">
        <v>1005</v>
      </c>
      <c r="F84" s="9" t="s">
        <v>1006</v>
      </c>
      <c r="G84" s="9" t="s">
        <v>1007</v>
      </c>
      <c r="L84" s="20">
        <f>$I$41*$L$41</f>
        <v>0</v>
      </c>
      <c r="M84" s="20">
        <f>$I$41*$M$41</f>
        <v>0</v>
      </c>
      <c r="N84" s="20">
        <f>$I$41*$N$41</f>
        <v>0</v>
      </c>
      <c r="O84" s="20">
        <f>$I$41*$O$41</f>
        <v>0</v>
      </c>
      <c r="P84" s="20">
        <f>$I$41*$P$41</f>
        <v>0</v>
      </c>
      <c r="Q84" s="20">
        <f>$I$41*$Q$41</f>
        <v>80951.0764007978</v>
      </c>
      <c r="R84" s="20">
        <f>$I$41*$R$41</f>
        <v>0</v>
      </c>
      <c r="S84" s="20">
        <f>$I$41*$S$41</f>
        <v>0</v>
      </c>
      <c r="T84" s="20">
        <f>$I$41*$T$41</f>
        <v>0</v>
      </c>
      <c r="U84" s="20">
        <f>$I$41*$U$41</f>
        <v>0</v>
      </c>
      <c r="V84" s="20">
        <f>$I$41*$V$41</f>
        <v>0</v>
      </c>
      <c r="X84" s="20">
        <f>$I$41*$X$41</f>
        <v>0</v>
      </c>
      <c r="Y84" s="20">
        <f>$I$41*$Y$41</f>
        <v>0</v>
      </c>
      <c r="Z84" s="20">
        <f>$I$41*$Z$41</f>
        <v>0</v>
      </c>
      <c r="AA84" s="20">
        <f>$I$41*$AA$41</f>
        <v>0</v>
      </c>
      <c r="AB84" s="20">
        <f>$I$41*$AB$41</f>
        <v>0</v>
      </c>
      <c r="AC84" s="20">
        <f>$I$41*$AC$41</f>
        <v>66633.935212469456</v>
      </c>
      <c r="AD84" s="20">
        <f>$I$41*$AD$41</f>
        <v>0</v>
      </c>
      <c r="AE84" s="20">
        <f>$I$41*$AE$41</f>
        <v>0</v>
      </c>
      <c r="AF84" s="20">
        <f>$I$41*$AF$41</f>
        <v>0</v>
      </c>
      <c r="AG84" s="20">
        <f>$I$41*$AG$41</f>
        <v>0</v>
      </c>
      <c r="AH84" s="20">
        <f>$I$41*$AH$41</f>
        <v>0</v>
      </c>
    </row>
    <row r="85" spans="1:34" ht="11.25" customHeight="1" x14ac:dyDescent="0.3">
      <c r="A85" s="9" t="s">
        <v>44</v>
      </c>
      <c r="B85" s="9" t="s">
        <v>1002</v>
      </c>
      <c r="C85" s="9" t="s">
        <v>1003</v>
      </c>
      <c r="D85" s="9" t="s">
        <v>1008</v>
      </c>
      <c r="E85" s="9" t="s">
        <v>1009</v>
      </c>
      <c r="F85" s="9" t="s">
        <v>1010</v>
      </c>
      <c r="G85" s="9" t="s">
        <v>1011</v>
      </c>
      <c r="L85" s="20">
        <f>$I$42*$L$42</f>
        <v>0</v>
      </c>
      <c r="M85" s="20">
        <f>$I$42*$M$42</f>
        <v>0</v>
      </c>
      <c r="N85" s="20">
        <f>$I$42*$N$42</f>
        <v>0</v>
      </c>
      <c r="O85" s="20">
        <f>$I$42*$O$42</f>
        <v>0</v>
      </c>
      <c r="P85" s="20">
        <f>$I$42*$P$42</f>
        <v>0</v>
      </c>
      <c r="Q85" s="20">
        <f>$I$42*$Q$42</f>
        <v>0</v>
      </c>
      <c r="R85" s="20">
        <f>$I$42*$R$42</f>
        <v>0</v>
      </c>
      <c r="S85" s="20">
        <f>$I$42*$S$42</f>
        <v>0</v>
      </c>
      <c r="T85" s="20">
        <f>$I$42*$T$42</f>
        <v>0</v>
      </c>
      <c r="U85" s="20">
        <f>$I$42*$U$42</f>
        <v>0</v>
      </c>
      <c r="V85" s="20">
        <f>$I$42*$V$42</f>
        <v>0</v>
      </c>
      <c r="X85" s="20">
        <f>$I$42*$X$42</f>
        <v>0</v>
      </c>
      <c r="Y85" s="20">
        <f>$I$42*$Y$42</f>
        <v>0</v>
      </c>
      <c r="Z85" s="20">
        <f>$I$42*$Z$42</f>
        <v>0</v>
      </c>
      <c r="AA85" s="20">
        <f>$I$42*$AA$42</f>
        <v>0</v>
      </c>
      <c r="AB85" s="20">
        <f>$I$42*$AB$42</f>
        <v>0</v>
      </c>
      <c r="AC85" s="20">
        <f>$I$42*$AC$42</f>
        <v>0</v>
      </c>
      <c r="AD85" s="20">
        <f>$I$42*$AD$42</f>
        <v>0</v>
      </c>
      <c r="AE85" s="20">
        <f>$I$42*$AE$42</f>
        <v>0</v>
      </c>
      <c r="AF85" s="20">
        <f>$I$42*$AF$42</f>
        <v>0</v>
      </c>
      <c r="AG85" s="20">
        <f>$I$42*$AG$42</f>
        <v>0</v>
      </c>
      <c r="AH85" s="20">
        <f>$I$42*$AH$42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V44"/>
    <mergeCell ref="X44:AH44"/>
    <mergeCell ref="L45:V45"/>
    <mergeCell ref="X45:AH45"/>
    <mergeCell ref="L46:P46"/>
    <mergeCell ref="R46:T46"/>
    <mergeCell ref="X46:AB46"/>
    <mergeCell ref="AD46:AF46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1F2F-F928-4968-9A07-1F0F2EFEFE24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7.886718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21875" style="14" bestFit="1" customWidth="1"/>
    <col min="14" max="14" width="9.109375" style="14" bestFit="1" customWidth="1"/>
    <col min="15" max="15" width="6.88671875" style="14" bestFit="1" customWidth="1"/>
    <col min="16" max="16" width="9.21875" style="14" bestFit="1" customWidth="1"/>
    <col min="17" max="17" width="10.6640625" style="14" bestFit="1" customWidth="1"/>
    <col min="18" max="18" width="7.5546875" style="14" bestFit="1" customWidth="1"/>
    <col min="19" max="19" width="6.77734375" style="14" bestFit="1" customWidth="1"/>
    <col min="20" max="20" width="14.44140625" style="14" bestFit="1" customWidth="1"/>
    <col min="21" max="21" width="17.77734375" style="14" bestFit="1" customWidth="1"/>
    <col min="22" max="22" width="18.109375" style="14" bestFit="1" customWidth="1"/>
    <col min="23" max="23" width="5.33203125" style="14" bestFit="1" customWidth="1"/>
    <col min="24" max="24" width="9.1093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1019</v>
      </c>
      <c r="AA1" s="14" t="s">
        <v>38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38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79</v>
      </c>
      <c r="AB2" s="14" t="s">
        <v>73</v>
      </c>
      <c r="AC2" s="14" t="s">
        <v>24</v>
      </c>
      <c r="AD2" s="14" t="s">
        <v>24</v>
      </c>
      <c r="AE2" s="14" t="s">
        <v>77</v>
      </c>
      <c r="AG2" s="14" t="s">
        <v>75</v>
      </c>
    </row>
    <row r="3" spans="1:33" x14ac:dyDescent="0.2">
      <c r="AA3" s="14" t="s">
        <v>22</v>
      </c>
      <c r="AB3" s="14" t="s">
        <v>78</v>
      </c>
      <c r="AC3" s="14" t="s">
        <v>42</v>
      </c>
      <c r="AD3" s="14" t="s">
        <v>29</v>
      </c>
      <c r="AE3" s="14" t="s">
        <v>80</v>
      </c>
      <c r="AG3" s="14" t="s">
        <v>76</v>
      </c>
    </row>
    <row r="4" spans="1:33" x14ac:dyDescent="0.2">
      <c r="AA4" s="14" t="s">
        <v>41</v>
      </c>
      <c r="AB4" s="14" t="s">
        <v>39</v>
      </c>
      <c r="AC4" s="14" t="s">
        <v>45</v>
      </c>
      <c r="AD4" s="14" t="s">
        <v>30</v>
      </c>
      <c r="AE4" s="14" t="s">
        <v>81</v>
      </c>
      <c r="AG4" s="14" t="s">
        <v>72</v>
      </c>
    </row>
    <row r="5" spans="1:33" x14ac:dyDescent="0.2">
      <c r="A5" s="14" t="s">
        <v>1012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433</v>
      </c>
      <c r="AA5" s="14" t="s">
        <v>36</v>
      </c>
      <c r="AB5" s="14" t="s">
        <v>33</v>
      </c>
      <c r="AD5" s="14" t="s">
        <v>31</v>
      </c>
      <c r="AG5" s="14" t="s">
        <v>9</v>
      </c>
    </row>
    <row r="6" spans="1:33" x14ac:dyDescent="0.2">
      <c r="A6" s="14" t="s">
        <v>1013</v>
      </c>
      <c r="B6" s="39">
        <f>SUM(TUSD!$AI$57:'TUSD'!$AI$103)</f>
        <v>560271.5343343264</v>
      </c>
      <c r="C6" s="39">
        <f>SUM(TUSD!$AJ$57:'TUSD'!$AJ$103)</f>
        <v>29327.264529128446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1105756.5598740506</v>
      </c>
      <c r="H6" s="39">
        <f>SUM(TUSD!$AO$57:'TUSD'!$AO$103)</f>
        <v>189121.51791872559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2088964.3792397382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4511843.6649293946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324341.77004532237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8809626.6908706874</v>
      </c>
      <c r="AA6" s="14" t="s">
        <v>44</v>
      </c>
      <c r="AB6" s="14" t="s">
        <v>23</v>
      </c>
      <c r="AD6" s="14" t="s">
        <v>32</v>
      </c>
      <c r="AG6" s="14" t="s">
        <v>69</v>
      </c>
    </row>
    <row r="7" spans="1:33" x14ac:dyDescent="0.2">
      <c r="A7" s="14" t="s">
        <v>1014</v>
      </c>
      <c r="B7" s="39">
        <f>SUM(TUSD!$L$57:'TUSD'!$L$103)</f>
        <v>555759.27466862474</v>
      </c>
      <c r="C7" s="39">
        <f>SUM(TUSD!$M$57:'TUSD'!$M$103)</f>
        <v>32237.476501231242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1729216.2529641411</v>
      </c>
      <c r="H7" s="39">
        <f>SUM(TUSD!$R$57:'TUSD'!$R$103)</f>
        <v>304590.52553466527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2536960.5302558001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4160482.4614553167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388756.19372634875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9708002.7151061296</v>
      </c>
      <c r="AB7" s="14" t="s">
        <v>84</v>
      </c>
      <c r="AD7" s="14" t="s">
        <v>85</v>
      </c>
      <c r="AG7" s="14" t="s">
        <v>70</v>
      </c>
    </row>
    <row r="8" spans="1:33" x14ac:dyDescent="0.2">
      <c r="A8" s="14" t="s">
        <v>1017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346543.82610335661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17406.76848061596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683941.77736143745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123080.7564409851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1318782.8551505595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2685068.1286072154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126576.35255896878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5301400.4647031389</v>
      </c>
      <c r="AD8" s="14" t="s">
        <v>86</v>
      </c>
      <c r="AG8" s="14" t="s">
        <v>82</v>
      </c>
    </row>
    <row r="9" spans="1:33" x14ac:dyDescent="0.2">
      <c r="A9" s="14" t="s">
        <v>1018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337665.01265496697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20470.559441419089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1050627.2311667008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197459.46273813778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1592098.9170014109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2641876.0793606504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150713.83367198368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5990911.0960352691</v>
      </c>
      <c r="AD9" s="14" t="s">
        <v>46</v>
      </c>
    </row>
    <row r="10" spans="1:33" x14ac:dyDescent="0.2">
      <c r="A10" s="14" t="s">
        <v>1015</v>
      </c>
      <c r="B10" s="39">
        <f>SUMIF(TUSD!$A$57:'TUSD'!$A$103,$A$2,TUSD!$AI$57:'TUSD'!$AI$103)</f>
        <v>346543.82610335661</v>
      </c>
      <c r="C10" s="39">
        <f>SUMIF(TUSD!$A$57:'TUSD'!$A$103,$A$2,TUSD!$AJ$57:'TUSD'!$AJ$103)</f>
        <v>17406.76848061596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683941.77736143745</v>
      </c>
      <c r="H10" s="39">
        <f>SUMIF(TUSD!$A$57:'TUSD'!$A$103,$A$2,TUSD!$AO$57:'TUSD'!$AO$103)</f>
        <v>123080.7564409851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1318782.8551505595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2685068.1286072154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126576.35255896878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5301400.4647031389</v>
      </c>
      <c r="AD10" s="14" t="s">
        <v>87</v>
      </c>
    </row>
    <row r="11" spans="1:33" x14ac:dyDescent="0.2">
      <c r="A11" s="14" t="s">
        <v>1016</v>
      </c>
      <c r="B11" s="39">
        <f>SUMIF(TUSD!$A$57:'TUSD'!$A$103,$A$2,TUSD!$L$57:'TUSD'!$L$103)</f>
        <v>337665.01265496697</v>
      </c>
      <c r="C11" s="39">
        <f>SUMIF(TUSD!$A$57:'TUSD'!$A$103,$A$2,TUSD!$M$57:'TUSD'!$M$103)</f>
        <v>20470.559441419089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1050627.2311667008</v>
      </c>
      <c r="H11" s="39">
        <f>SUMIF(TUSD!$A$57:'TUSD'!$A$103,$A$2,TUSD!$R$57:'TUSD'!$R$103)</f>
        <v>197459.46273813778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1592098.9170014109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2641876.0793606504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150713.83367198368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5990911.0960352691</v>
      </c>
    </row>
    <row r="13" spans="1:33" x14ac:dyDescent="0.2">
      <c r="A13" s="14" t="s">
        <v>1020</v>
      </c>
      <c r="B13" s="58">
        <f t="shared" ref="B13:X13" si="1">IF($X$6&lt;&gt;0,(B$7-B$6)/$X$6,0)</f>
        <v>-5.1219646689202583E-4</v>
      </c>
      <c r="C13" s="58">
        <f t="shared" si="1"/>
        <v>3.3034452811929184E-4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7.0770273811508327E-2</v>
      </c>
      <c r="H13" s="58">
        <f t="shared" si="1"/>
        <v>1.310713968568031E-2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5.0853023259239238E-2</v>
      </c>
      <c r="O13" s="58">
        <f t="shared" si="1"/>
        <v>0</v>
      </c>
      <c r="P13" s="58">
        <f t="shared" si="1"/>
        <v>0</v>
      </c>
      <c r="Q13" s="58">
        <f t="shared" si="1"/>
        <v>-3.9883778939031472E-2</v>
      </c>
      <c r="R13" s="58">
        <f t="shared" ca="1" si="1"/>
        <v>0</v>
      </c>
      <c r="S13" s="58">
        <f t="shared" ca="1" si="1"/>
        <v>0</v>
      </c>
      <c r="T13" s="58">
        <f t="shared" si="1"/>
        <v>7.3118221624280961E-3</v>
      </c>
      <c r="U13" s="58">
        <f t="shared" si="1"/>
        <v>0</v>
      </c>
      <c r="V13" s="58">
        <f t="shared" ca="1" si="1"/>
        <v>0</v>
      </c>
      <c r="W13" s="58">
        <f t="shared" ca="1" si="1"/>
        <v>0</v>
      </c>
      <c r="X13" s="58">
        <f t="shared" ca="1" si="1"/>
        <v>0</v>
      </c>
    </row>
    <row r="14" spans="1:33" x14ac:dyDescent="0.2">
      <c r="A14" s="14" t="s">
        <v>1021</v>
      </c>
      <c r="B14" s="58">
        <f t="shared" ref="B14:X14" si="2">IF($X$10&lt;&gt;0,(B$9-B$8)/$X$10,0)</f>
        <v>-1.6748052722115622E-3</v>
      </c>
      <c r="C14" s="58">
        <f t="shared" si="2"/>
        <v>5.7792105712479731E-4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6.9167657913539002E-2</v>
      </c>
      <c r="H14" s="58">
        <f t="shared" si="2"/>
        <v>1.4030010898510312E-2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5.1555445333850328E-2</v>
      </c>
      <c r="O14" s="58">
        <f t="shared" si="2"/>
        <v>0</v>
      </c>
      <c r="P14" s="58">
        <f t="shared" si="2"/>
        <v>0</v>
      </c>
      <c r="Q14" s="58">
        <f t="shared" si="2"/>
        <v>-8.1472904252638048E-3</v>
      </c>
      <c r="R14" s="58">
        <f t="shared" ca="1" si="2"/>
        <v>0</v>
      </c>
      <c r="S14" s="58">
        <f t="shared" ca="1" si="2"/>
        <v>0</v>
      </c>
      <c r="T14" s="58">
        <f t="shared" si="2"/>
        <v>4.5530386307774473E-3</v>
      </c>
      <c r="U14" s="58">
        <f t="shared" si="2"/>
        <v>0</v>
      </c>
      <c r="V14" s="58">
        <f t="shared" ca="1" si="2"/>
        <v>0</v>
      </c>
      <c r="W14" s="58">
        <f t="shared" ca="1" si="2"/>
        <v>0</v>
      </c>
      <c r="X14" s="58">
        <f t="shared" ca="1" si="2"/>
        <v>0</v>
      </c>
    </row>
    <row r="15" spans="1:33" x14ac:dyDescent="0.2">
      <c r="A15" s="14" t="s">
        <v>1022</v>
      </c>
      <c r="B15" s="58">
        <f t="shared" ref="B15:X15" si="3">IF($X$8&lt;&gt;0,(B$9-B$8)/$X$8,0)</f>
        <v>-1.6748052722115622E-3</v>
      </c>
      <c r="C15" s="58">
        <f t="shared" si="3"/>
        <v>5.7792105712479731E-4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6.9167657913539002E-2</v>
      </c>
      <c r="H15" s="58">
        <f t="shared" si="3"/>
        <v>1.4030010898510312E-2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5.1555445333850328E-2</v>
      </c>
      <c r="O15" s="58">
        <f t="shared" si="3"/>
        <v>0</v>
      </c>
      <c r="P15" s="58">
        <f t="shared" si="3"/>
        <v>0</v>
      </c>
      <c r="Q15" s="58">
        <f t="shared" si="3"/>
        <v>-8.1472904252638048E-3</v>
      </c>
      <c r="R15" s="58">
        <f t="shared" ca="1" si="3"/>
        <v>0</v>
      </c>
      <c r="S15" s="58">
        <f t="shared" ca="1" si="3"/>
        <v>0</v>
      </c>
      <c r="T15" s="58">
        <f t="shared" si="3"/>
        <v>4.5530386307774473E-3</v>
      </c>
      <c r="U15" s="58">
        <f t="shared" si="3"/>
        <v>0</v>
      </c>
      <c r="V15" s="58">
        <f t="shared" ca="1" si="3"/>
        <v>0</v>
      </c>
      <c r="W15" s="58">
        <f t="shared" ca="1" si="3"/>
        <v>0</v>
      </c>
      <c r="X15" s="58">
        <f t="shared" ca="1" si="3"/>
        <v>0</v>
      </c>
    </row>
  </sheetData>
  <dataValidations count="6">
    <dataValidation type="list" allowBlank="1" showInputMessage="1" showErrorMessage="1" error="Deve-se selecionar grupo válido" sqref="A2" xr:uid="{A8A4B4C7-BD63-430C-8A13-7CEB36B51331}">
      <formula1>AA1:AA6</formula1>
    </dataValidation>
    <dataValidation type="list" allowBlank="1" showInputMessage="1" showErrorMessage="1" error="Deve-se selecionar grupo válido" sqref="B2" xr:uid="{0895FF5E-CAFA-4588-A55E-C1B974F114F2}">
      <formula1>AB1:AB7</formula1>
    </dataValidation>
    <dataValidation type="list" allowBlank="1" showInputMessage="1" showErrorMessage="1" error="Deve-se selecionar grupo válido" sqref="C2 E2" xr:uid="{419C2637-F850-4911-86D5-4131EE0D6929}">
      <formula1>AC1:AC4</formula1>
    </dataValidation>
    <dataValidation type="list" allowBlank="1" showInputMessage="1" showErrorMessage="1" error="Deve-se selecionar grupo válido" sqref="D2" xr:uid="{6A40F559-B732-4769-952F-A154B67C0432}">
      <formula1>AD1:AD10</formula1>
    </dataValidation>
    <dataValidation type="list" allowBlank="1" showInputMessage="1" showErrorMessage="1" error="Deve-se selecionar grupo válido" sqref="F2" xr:uid="{946CA012-F948-4876-A034-D26A9DE254A2}">
      <formula1>AF1:AF1</formula1>
    </dataValidation>
    <dataValidation type="list" allowBlank="1" showInputMessage="1" showErrorMessage="1" error="Deve-se selecionar grupo válido" sqref="G2" xr:uid="{C186B3D5-DB07-47B0-97F6-3851D92B6593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407E-D39E-4423-B7C7-37E4704C395F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0.2187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77734375" style="14" bestFit="1" customWidth="1"/>
    <col min="8" max="8" width="5.33203125" style="14" bestFit="1" customWidth="1"/>
    <col min="9" max="9" width="9.2187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1093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1019</v>
      </c>
      <c r="AA1" s="14" t="s">
        <v>38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38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67</v>
      </c>
      <c r="AC2" s="14" t="s">
        <v>24</v>
      </c>
      <c r="AD2" s="14" t="s">
        <v>24</v>
      </c>
      <c r="AG2" s="14" t="s">
        <v>69</v>
      </c>
    </row>
    <row r="3" spans="1:33" x14ac:dyDescent="0.2">
      <c r="AA3" s="14" t="s">
        <v>41</v>
      </c>
      <c r="AB3" s="14" t="s">
        <v>71</v>
      </c>
      <c r="AC3" s="14" t="s">
        <v>42</v>
      </c>
      <c r="AD3" s="14" t="s">
        <v>29</v>
      </c>
      <c r="AG3" s="14" t="s">
        <v>70</v>
      </c>
    </row>
    <row r="4" spans="1:33" x14ac:dyDescent="0.2">
      <c r="AA4" s="14" t="s">
        <v>36</v>
      </c>
      <c r="AB4" s="14" t="s">
        <v>83</v>
      </c>
      <c r="AC4" s="14" t="s">
        <v>45</v>
      </c>
      <c r="AD4" s="14" t="s">
        <v>30</v>
      </c>
      <c r="AG4" s="14" t="s">
        <v>72</v>
      </c>
    </row>
    <row r="5" spans="1:33" x14ac:dyDescent="0.2">
      <c r="A5" s="14" t="s">
        <v>1012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433</v>
      </c>
      <c r="AA5" s="14" t="s">
        <v>44</v>
      </c>
      <c r="AD5" s="14" t="s">
        <v>31</v>
      </c>
      <c r="AG5" s="14" t="s">
        <v>82</v>
      </c>
    </row>
    <row r="6" spans="1:33" x14ac:dyDescent="0.2">
      <c r="A6" s="14" t="s">
        <v>1013</v>
      </c>
      <c r="B6" s="39">
        <f>SUM(TE!$X$48:'TE'!$X$85)</f>
        <v>0</v>
      </c>
      <c r="C6" s="39">
        <f>SUM(TE!$Y$48:'TE'!$Y$85)</f>
        <v>0</v>
      </c>
      <c r="D6" s="39">
        <f>SUM(TE!$Z$48:'TE'!$Z$85)</f>
        <v>0</v>
      </c>
      <c r="E6" s="39">
        <f>SUM(TE!$AA$48:'TE'!$AA$85)</f>
        <v>0</v>
      </c>
      <c r="F6" s="39">
        <f>SUM(TE!$AB$48:'TE'!$AB$85)</f>
        <v>0</v>
      </c>
      <c r="G6" s="39">
        <f>SUM(TE!$AC$48:'TE'!$AC$85)</f>
        <v>2349610.6657028268</v>
      </c>
      <c r="H6" s="39">
        <f>SUM(TE!$AD$48:'TE'!$AD$85)</f>
        <v>0</v>
      </c>
      <c r="I6" s="39">
        <f>SUM(TE!$AE$48:'TE'!$AE$85)</f>
        <v>0</v>
      </c>
      <c r="J6" s="39">
        <f>SUM(TE!$AF$48:'TE'!$AF$85)</f>
        <v>0</v>
      </c>
      <c r="K6" s="39">
        <f>SUM(TE!$AG$48:'TE'!$AG$85)</f>
        <v>0</v>
      </c>
      <c r="L6" s="39">
        <f>SUM(TE!$AH$48:'TE'!$AH$85)</f>
        <v>0</v>
      </c>
      <c r="M6" s="39">
        <f t="shared" ref="M6:M11" si="0">SUM(B6:L6)</f>
        <v>2349610.6657028268</v>
      </c>
      <c r="AD6" s="14" t="s">
        <v>32</v>
      </c>
    </row>
    <row r="7" spans="1:33" x14ac:dyDescent="0.2">
      <c r="A7" s="14" t="s">
        <v>1014</v>
      </c>
      <c r="B7" s="39">
        <f>SUM(TE!$L$48:'TE'!$L$85)</f>
        <v>0</v>
      </c>
      <c r="C7" s="39">
        <f>SUM(TE!$M$48:'TE'!$M$85)</f>
        <v>0</v>
      </c>
      <c r="D7" s="39">
        <f>SUM(TE!$N$48:'TE'!$N$85)</f>
        <v>0</v>
      </c>
      <c r="E7" s="39">
        <f>SUM(TE!$O$48:'TE'!$O$85)</f>
        <v>0</v>
      </c>
      <c r="F7" s="39">
        <f>SUM(TE!$P$48:'TE'!$P$85)</f>
        <v>0</v>
      </c>
      <c r="G7" s="39">
        <f>SUM(TE!$Q$48:'TE'!$Q$85)</f>
        <v>2876808.7592606796</v>
      </c>
      <c r="H7" s="39">
        <f>SUM(TE!$R$48:'TE'!$R$85)</f>
        <v>0</v>
      </c>
      <c r="I7" s="39">
        <f>SUM(TE!$S$48:'TE'!$S$85)</f>
        <v>0</v>
      </c>
      <c r="J7" s="39">
        <f>SUM(TE!$T$48:'TE'!$T$85)</f>
        <v>0</v>
      </c>
      <c r="K7" s="39">
        <f>SUM(TE!$U$48:'TE'!$U$85)</f>
        <v>0</v>
      </c>
      <c r="L7" s="39">
        <f>SUM(TE!$V$48:'TE'!$V$85)</f>
        <v>0</v>
      </c>
      <c r="M7" s="39">
        <f t="shared" si="0"/>
        <v>2876808.7592606796</v>
      </c>
      <c r="AD7" s="14" t="s">
        <v>85</v>
      </c>
    </row>
    <row r="8" spans="1:33" x14ac:dyDescent="0.2">
      <c r="A8" s="14" t="s">
        <v>1017</v>
      </c>
      <c r="B8" s="39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C8" s="39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D8" s="39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39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39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39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659851.89077284094</v>
      </c>
      <c r="H8" s="39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39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39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39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39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39">
        <f t="shared" si="0"/>
        <v>659851.89077284094</v>
      </c>
      <c r="AD8" s="14" t="s">
        <v>86</v>
      </c>
    </row>
    <row r="9" spans="1:33" x14ac:dyDescent="0.2">
      <c r="A9" s="14" t="s">
        <v>1018</v>
      </c>
      <c r="B9" s="39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39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0</v>
      </c>
      <c r="D9" s="39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39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39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0</v>
      </c>
      <c r="G9" s="39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801629.38978226576</v>
      </c>
      <c r="H9" s="39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39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39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39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39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0</v>
      </c>
      <c r="M9" s="39">
        <f t="shared" si="0"/>
        <v>801629.38978226576</v>
      </c>
      <c r="AD9" s="14" t="s">
        <v>46</v>
      </c>
    </row>
    <row r="10" spans="1:33" x14ac:dyDescent="0.2">
      <c r="A10" s="14" t="s">
        <v>1015</v>
      </c>
      <c r="B10" s="39">
        <f>SUMIF(TE!$A$48:'TE'!$A$85,$A$2,TE!$X$48:'TE'!$X$85)</f>
        <v>0</v>
      </c>
      <c r="C10" s="39">
        <f>SUMIF(TE!$A$48:'TE'!$A$85,$A$2,TE!$Y$48:'TE'!$Y$85)</f>
        <v>0</v>
      </c>
      <c r="D10" s="39">
        <f>SUMIF(TE!$A$48:'TE'!$A$85,$A$2,TE!$Z$48:'TE'!$Z$85)</f>
        <v>0</v>
      </c>
      <c r="E10" s="39">
        <f>SUMIF(TE!$A$48:'TE'!$A$85,$A$2,TE!$AA$48:'TE'!$AA$85)</f>
        <v>0</v>
      </c>
      <c r="F10" s="39">
        <f>SUMIF(TE!$A$48:'TE'!$A$85,$A$2,TE!$AB$48:'TE'!$AB$85)</f>
        <v>0</v>
      </c>
      <c r="G10" s="39">
        <f>SUMIF(TE!$A$48:'TE'!$A$85,$A$2,TE!$AC$48:'TE'!$AC$85)</f>
        <v>659851.89077284094</v>
      </c>
      <c r="H10" s="39">
        <f>SUMIF(TE!$A$48:'TE'!$A$85,$A$2,TE!$AD$48:'TE'!$AD$85)</f>
        <v>0</v>
      </c>
      <c r="I10" s="39">
        <f>SUMIF(TE!$A$48:'TE'!$A$85,$A$2,TE!$AE$48:'TE'!$AE$85)</f>
        <v>0</v>
      </c>
      <c r="J10" s="39">
        <f>SUMIF(TE!$A$48:'TE'!$A$85,$A$2,TE!$AF$48:'TE'!$AF$85)</f>
        <v>0</v>
      </c>
      <c r="K10" s="39">
        <f>SUMIF(TE!$A$48:'TE'!$A$85,$A$2,TE!$AG$48:'TE'!$AG$85)</f>
        <v>0</v>
      </c>
      <c r="L10" s="39">
        <f>SUMIF(TE!$A$48:'TE'!$A$85,$A$2,TE!$AH$48:'TE'!$AH$85)</f>
        <v>0</v>
      </c>
      <c r="M10" s="39">
        <f t="shared" si="0"/>
        <v>659851.89077284094</v>
      </c>
      <c r="AD10" s="14" t="s">
        <v>87</v>
      </c>
    </row>
    <row r="11" spans="1:33" x14ac:dyDescent="0.2">
      <c r="A11" s="14" t="s">
        <v>1016</v>
      </c>
      <c r="B11" s="39">
        <f>SUMIF(TE!$A$48:'TE'!$A$85,$A$2,TE!$L$48:'TE'!$L$85)</f>
        <v>0</v>
      </c>
      <c r="C11" s="39">
        <f>SUMIF(TE!$A$48:'TE'!$A$85,$A$2,TE!$M$48:'TE'!$M$85)</f>
        <v>0</v>
      </c>
      <c r="D11" s="39">
        <f>SUMIF(TE!$A$48:'TE'!$A$85,$A$2,TE!$N$48:'TE'!$N$85)</f>
        <v>0</v>
      </c>
      <c r="E11" s="39">
        <f>SUMIF(TE!$A$48:'TE'!$A$85,$A$2,TE!$O$48:'TE'!$O$85)</f>
        <v>0</v>
      </c>
      <c r="F11" s="39">
        <f>SUMIF(TE!$A$48:'TE'!$A$85,$A$2,TE!$P$48:'TE'!$P$85)</f>
        <v>0</v>
      </c>
      <c r="G11" s="39">
        <f>SUMIF(TE!$A$48:'TE'!$A$85,$A$2,TE!$Q$48:'TE'!$Q$85)</f>
        <v>801629.38978226576</v>
      </c>
      <c r="H11" s="39">
        <f>SUMIF(TE!$A$48:'TE'!$A$85,$A$2,TE!$R$48:'TE'!$R$85)</f>
        <v>0</v>
      </c>
      <c r="I11" s="39">
        <f>SUMIF(TE!$A$48:'TE'!$A$85,$A$2,TE!$S$48:'TE'!$S$85)</f>
        <v>0</v>
      </c>
      <c r="J11" s="39">
        <f>SUMIF(TE!$A$48:'TE'!$A$85,$A$2,TE!$T$48:'TE'!$T$85)</f>
        <v>0</v>
      </c>
      <c r="K11" s="39">
        <f>SUMIF(TE!$A$48:'TE'!$A$85,$A$2,TE!$U$48:'TE'!$U$85)</f>
        <v>0</v>
      </c>
      <c r="L11" s="39">
        <f>SUMIF(TE!$A$48:'TE'!$A$85,$A$2,TE!$V$48:'TE'!$V$85)</f>
        <v>0</v>
      </c>
      <c r="M11" s="39">
        <f t="shared" si="0"/>
        <v>801629.38978226576</v>
      </c>
    </row>
    <row r="13" spans="1:33" x14ac:dyDescent="0.2">
      <c r="A13" s="14" t="s">
        <v>1020</v>
      </c>
      <c r="B13" s="58">
        <f t="shared" ref="B13:M13" si="1">IF($M$6&lt;&gt;0,(B$7-B$6)/$M$6,0)</f>
        <v>0</v>
      </c>
      <c r="C13" s="58">
        <f t="shared" si="1"/>
        <v>0</v>
      </c>
      <c r="D13" s="58">
        <f t="shared" si="1"/>
        <v>0</v>
      </c>
      <c r="E13" s="58">
        <f t="shared" si="1"/>
        <v>0</v>
      </c>
      <c r="F13" s="58">
        <f t="shared" si="1"/>
        <v>0</v>
      </c>
      <c r="G13" s="58">
        <f t="shared" si="1"/>
        <v>0.2243767877177876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0.2243767877177876</v>
      </c>
    </row>
    <row r="14" spans="1:33" x14ac:dyDescent="0.2">
      <c r="A14" s="14" t="s">
        <v>1021</v>
      </c>
      <c r="B14" s="58">
        <f t="shared" ref="B14:M14" si="2">IF($M$10&lt;&gt;0,(B$9-B$8)/$M$10,0)</f>
        <v>0</v>
      </c>
      <c r="C14" s="58">
        <f t="shared" si="2"/>
        <v>0</v>
      </c>
      <c r="D14" s="58">
        <f t="shared" si="2"/>
        <v>0</v>
      </c>
      <c r="E14" s="58">
        <f t="shared" si="2"/>
        <v>0</v>
      </c>
      <c r="F14" s="58">
        <f t="shared" si="2"/>
        <v>0</v>
      </c>
      <c r="G14" s="58">
        <f t="shared" si="2"/>
        <v>0.2148626093097501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0.2148626093097501</v>
      </c>
    </row>
    <row r="15" spans="1:33" x14ac:dyDescent="0.2">
      <c r="A15" s="14" t="s">
        <v>1022</v>
      </c>
      <c r="B15" s="58">
        <f t="shared" ref="B15:M15" si="3">IF($M$8&lt;&gt;0,(B$9-B$8)/$M$8,0)</f>
        <v>0</v>
      </c>
      <c r="C15" s="58">
        <f t="shared" si="3"/>
        <v>0</v>
      </c>
      <c r="D15" s="58">
        <f t="shared" si="3"/>
        <v>0</v>
      </c>
      <c r="E15" s="58">
        <f t="shared" si="3"/>
        <v>0</v>
      </c>
      <c r="F15" s="58">
        <f t="shared" si="3"/>
        <v>0</v>
      </c>
      <c r="G15" s="58">
        <f t="shared" si="3"/>
        <v>0.2148626093097501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0.2148626093097501</v>
      </c>
    </row>
  </sheetData>
  <dataValidations count="4">
    <dataValidation type="list" allowBlank="1" showInputMessage="1" showErrorMessage="1" sqref="A2 G2" xr:uid="{904532A5-1911-4EA9-80A1-87421D1CEB37}">
      <formula1>AA1:AA5</formula1>
    </dataValidation>
    <dataValidation type="list" allowBlank="1" showInputMessage="1" showErrorMessage="1" sqref="B2 C2" xr:uid="{DD954538-6820-42FA-AF2D-6B6A6D164692}">
      <formula1>AB1:AB4</formula1>
    </dataValidation>
    <dataValidation type="list" allowBlank="1" showInputMessage="1" showErrorMessage="1" sqref="D2" xr:uid="{D915124A-635E-4739-8C30-BF5662398008}">
      <formula1>AD1:AD10</formula1>
    </dataValidation>
    <dataValidation type="list" allowBlank="1" showInputMessage="1" showErrorMessage="1" sqref="E2 F2" xr:uid="{D7A6F9C6-26E6-4C76-936F-4FD62D9249D3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25EE-B4FB-47C9-B6CC-DA8D8A1FF0F9}">
  <dimension ref="B1:U15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51" t="s">
        <v>628</v>
      </c>
      <c r="C1" s="51" t="s">
        <v>629</v>
      </c>
      <c r="D1" s="51" t="s">
        <v>630</v>
      </c>
      <c r="E1" s="51" t="s">
        <v>2</v>
      </c>
      <c r="F1" s="51" t="s">
        <v>631</v>
      </c>
      <c r="G1" s="51" t="s">
        <v>538</v>
      </c>
      <c r="H1" s="51" t="s">
        <v>3</v>
      </c>
      <c r="I1" s="51" t="s">
        <v>632</v>
      </c>
      <c r="J1" s="51" t="s">
        <v>5</v>
      </c>
      <c r="K1" s="51" t="s">
        <v>1</v>
      </c>
      <c r="L1" s="51" t="s">
        <v>633</v>
      </c>
      <c r="M1" s="51" t="s">
        <v>634</v>
      </c>
      <c r="N1" s="51" t="s">
        <v>635</v>
      </c>
      <c r="O1" s="51" t="s">
        <v>636</v>
      </c>
      <c r="P1" s="51" t="s">
        <v>637</v>
      </c>
      <c r="Q1" s="51" t="s">
        <v>638</v>
      </c>
      <c r="R1" s="51" t="s">
        <v>639</v>
      </c>
      <c r="S1" s="51" t="s">
        <v>640</v>
      </c>
      <c r="T1" s="51" t="s">
        <v>641</v>
      </c>
      <c r="U1" s="51" t="s">
        <v>642</v>
      </c>
    </row>
    <row r="2" spans="2:21" x14ac:dyDescent="0.3">
      <c r="B2" s="50" t="s">
        <v>613</v>
      </c>
      <c r="C2" s="50">
        <v>7826</v>
      </c>
      <c r="D2" s="50">
        <v>5366</v>
      </c>
      <c r="E2" s="50" t="s">
        <v>73</v>
      </c>
      <c r="F2" s="50">
        <v>1</v>
      </c>
      <c r="G2" s="50" t="s">
        <v>614</v>
      </c>
      <c r="H2" s="50" t="s">
        <v>47</v>
      </c>
      <c r="I2" s="50" t="s">
        <v>48</v>
      </c>
      <c r="J2" s="50" t="s">
        <v>563</v>
      </c>
      <c r="K2" s="50" t="s">
        <v>38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3">
      <c r="B3" s="50" t="s">
        <v>615</v>
      </c>
      <c r="C3" s="50">
        <v>7827</v>
      </c>
      <c r="D3" s="50">
        <v>5366</v>
      </c>
      <c r="E3" s="50" t="s">
        <v>39</v>
      </c>
      <c r="F3" s="50">
        <v>1</v>
      </c>
      <c r="G3" s="50" t="s">
        <v>614</v>
      </c>
      <c r="H3" s="50" t="s">
        <v>47</v>
      </c>
      <c r="I3" s="50" t="s">
        <v>48</v>
      </c>
      <c r="J3" s="50" t="s">
        <v>563</v>
      </c>
      <c r="K3" s="50" t="s">
        <v>38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3">
      <c r="B4" s="50" t="s">
        <v>616</v>
      </c>
      <c r="C4" s="50">
        <v>7828</v>
      </c>
      <c r="D4" s="50">
        <v>5366</v>
      </c>
      <c r="E4" s="50" t="s">
        <v>565</v>
      </c>
      <c r="F4" s="50">
        <v>1</v>
      </c>
      <c r="G4" s="50" t="s">
        <v>614</v>
      </c>
      <c r="H4" s="50" t="s">
        <v>47</v>
      </c>
      <c r="I4" s="50" t="s">
        <v>48</v>
      </c>
      <c r="J4" s="50" t="s">
        <v>563</v>
      </c>
      <c r="K4" s="50" t="s">
        <v>38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3">
      <c r="B5" s="50" t="s">
        <v>617</v>
      </c>
      <c r="C5" s="50">
        <v>7829</v>
      </c>
      <c r="D5" s="50">
        <v>5366</v>
      </c>
      <c r="E5" s="50" t="s">
        <v>23</v>
      </c>
      <c r="F5" s="50">
        <v>1</v>
      </c>
      <c r="G5" s="50" t="s">
        <v>614</v>
      </c>
      <c r="H5" s="50" t="s">
        <v>47</v>
      </c>
      <c r="I5" s="50" t="s">
        <v>48</v>
      </c>
      <c r="J5" s="50" t="s">
        <v>563</v>
      </c>
      <c r="K5" s="50" t="s">
        <v>36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3">
      <c r="B6" s="50" t="s">
        <v>618</v>
      </c>
      <c r="C6" s="50">
        <v>7830</v>
      </c>
      <c r="D6" s="50">
        <v>5366</v>
      </c>
      <c r="E6" s="50" t="s">
        <v>33</v>
      </c>
      <c r="F6" s="50">
        <v>1</v>
      </c>
      <c r="G6" s="50" t="s">
        <v>614</v>
      </c>
      <c r="H6" s="50" t="s">
        <v>47</v>
      </c>
      <c r="I6" s="50" t="s">
        <v>48</v>
      </c>
      <c r="J6" s="50" t="s">
        <v>563</v>
      </c>
      <c r="K6" s="50" t="s">
        <v>36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3">
      <c r="B7" s="50" t="s">
        <v>619</v>
      </c>
      <c r="C7" s="50">
        <v>7831</v>
      </c>
      <c r="D7" s="50">
        <v>5366</v>
      </c>
      <c r="E7" s="50" t="s">
        <v>23</v>
      </c>
      <c r="F7" s="50">
        <v>1</v>
      </c>
      <c r="G7" s="50" t="s">
        <v>614</v>
      </c>
      <c r="H7" s="50" t="s">
        <v>42</v>
      </c>
      <c r="I7" s="50" t="s">
        <v>85</v>
      </c>
      <c r="J7" s="50" t="s">
        <v>563</v>
      </c>
      <c r="K7" s="50" t="s">
        <v>41</v>
      </c>
      <c r="L7" s="50">
        <v>0.3</v>
      </c>
      <c r="M7" s="50">
        <v>0.24</v>
      </c>
      <c r="N7" s="50">
        <v>0.18</v>
      </c>
      <c r="O7" s="50">
        <v>0.12</v>
      </c>
      <c r="P7" s="50">
        <v>0.06</v>
      </c>
      <c r="Q7" s="50">
        <v>0</v>
      </c>
      <c r="R7" s="50"/>
      <c r="S7" s="50"/>
      <c r="T7" s="50"/>
      <c r="U7" s="50">
        <v>3</v>
      </c>
    </row>
    <row r="8" spans="2:21" x14ac:dyDescent="0.3">
      <c r="B8" s="50" t="s">
        <v>620</v>
      </c>
      <c r="C8" s="50">
        <v>7832</v>
      </c>
      <c r="D8" s="50">
        <v>5366</v>
      </c>
      <c r="E8" s="50" t="s">
        <v>564</v>
      </c>
      <c r="F8" s="50">
        <v>1</v>
      </c>
      <c r="G8" s="50" t="s">
        <v>614</v>
      </c>
      <c r="H8" s="50" t="s">
        <v>42</v>
      </c>
      <c r="I8" s="50" t="s">
        <v>85</v>
      </c>
      <c r="J8" s="50" t="s">
        <v>563</v>
      </c>
      <c r="K8" s="50" t="s">
        <v>41</v>
      </c>
      <c r="L8" s="50">
        <v>0.3</v>
      </c>
      <c r="M8" s="50">
        <v>0.24</v>
      </c>
      <c r="N8" s="50">
        <v>0.18</v>
      </c>
      <c r="O8" s="50">
        <v>0.12</v>
      </c>
      <c r="P8" s="50">
        <v>0.06</v>
      </c>
      <c r="Q8" s="50">
        <v>0</v>
      </c>
      <c r="R8" s="50"/>
      <c r="S8" s="50"/>
      <c r="T8" s="50"/>
      <c r="U8" s="50">
        <v>3</v>
      </c>
    </row>
    <row r="9" spans="2:21" x14ac:dyDescent="0.3">
      <c r="B9" s="50" t="s">
        <v>621</v>
      </c>
      <c r="C9" s="50">
        <v>7833</v>
      </c>
      <c r="D9" s="50">
        <v>5366</v>
      </c>
      <c r="E9" s="50" t="s">
        <v>73</v>
      </c>
      <c r="F9" s="50">
        <v>1</v>
      </c>
      <c r="G9" s="50" t="s">
        <v>614</v>
      </c>
      <c r="H9" s="50" t="s">
        <v>42</v>
      </c>
      <c r="I9" s="50" t="s">
        <v>25</v>
      </c>
      <c r="J9" s="50" t="s">
        <v>562</v>
      </c>
      <c r="K9" s="50" t="s">
        <v>38</v>
      </c>
      <c r="L9" s="50">
        <v>0.1</v>
      </c>
      <c r="M9" s="50">
        <v>0.08</v>
      </c>
      <c r="N9" s="50">
        <v>0.06</v>
      </c>
      <c r="O9" s="50">
        <v>0.04</v>
      </c>
      <c r="P9" s="50">
        <v>0.02</v>
      </c>
      <c r="Q9" s="50">
        <v>0</v>
      </c>
      <c r="R9" s="50"/>
      <c r="S9" s="50"/>
      <c r="T9" s="50"/>
      <c r="U9" s="50">
        <v>3</v>
      </c>
    </row>
    <row r="10" spans="2:21" x14ac:dyDescent="0.3">
      <c r="B10" s="50" t="s">
        <v>622</v>
      </c>
      <c r="C10" s="50">
        <v>7834</v>
      </c>
      <c r="D10" s="50">
        <v>5366</v>
      </c>
      <c r="E10" s="50" t="s">
        <v>39</v>
      </c>
      <c r="F10" s="50">
        <v>1</v>
      </c>
      <c r="G10" s="50" t="s">
        <v>614</v>
      </c>
      <c r="H10" s="50" t="s">
        <v>42</v>
      </c>
      <c r="I10" s="50" t="s">
        <v>25</v>
      </c>
      <c r="J10" s="50" t="s">
        <v>562</v>
      </c>
      <c r="K10" s="50" t="s">
        <v>38</v>
      </c>
      <c r="L10" s="50">
        <v>0.1</v>
      </c>
      <c r="M10" s="50">
        <v>0.08</v>
      </c>
      <c r="N10" s="50">
        <v>0.06</v>
      </c>
      <c r="O10" s="50">
        <v>0.04</v>
      </c>
      <c r="P10" s="50">
        <v>0.02</v>
      </c>
      <c r="Q10" s="50">
        <v>0</v>
      </c>
      <c r="R10" s="50"/>
      <c r="S10" s="50"/>
      <c r="T10" s="50"/>
      <c r="U10" s="50">
        <v>3</v>
      </c>
    </row>
    <row r="11" spans="2:21" x14ac:dyDescent="0.3">
      <c r="B11" s="50" t="s">
        <v>623</v>
      </c>
      <c r="C11" s="50">
        <v>7835</v>
      </c>
      <c r="D11" s="50">
        <v>5366</v>
      </c>
      <c r="E11" s="50" t="s">
        <v>23</v>
      </c>
      <c r="F11" s="50">
        <v>1</v>
      </c>
      <c r="G11" s="50" t="s">
        <v>614</v>
      </c>
      <c r="H11" s="50" t="s">
        <v>42</v>
      </c>
      <c r="I11" s="50" t="s">
        <v>25</v>
      </c>
      <c r="J11" s="50" t="s">
        <v>562</v>
      </c>
      <c r="K11" s="50" t="s">
        <v>38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3">
      <c r="B12" s="50" t="s">
        <v>624</v>
      </c>
      <c r="C12" s="50">
        <v>7836</v>
      </c>
      <c r="D12" s="50">
        <v>5366</v>
      </c>
      <c r="E12" s="50" t="s">
        <v>23</v>
      </c>
      <c r="F12" s="50">
        <v>1</v>
      </c>
      <c r="G12" s="50" t="s">
        <v>614</v>
      </c>
      <c r="H12" s="50" t="s">
        <v>42</v>
      </c>
      <c r="I12" s="50" t="s">
        <v>25</v>
      </c>
      <c r="J12" s="50" t="s">
        <v>42</v>
      </c>
      <c r="K12" s="50" t="s">
        <v>41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3">
      <c r="B13" s="50" t="s">
        <v>625</v>
      </c>
      <c r="C13" s="50">
        <v>7837</v>
      </c>
      <c r="D13" s="50">
        <v>5366</v>
      </c>
      <c r="E13" s="50" t="s">
        <v>33</v>
      </c>
      <c r="F13" s="50">
        <v>1</v>
      </c>
      <c r="G13" s="50" t="s">
        <v>614</v>
      </c>
      <c r="H13" s="50" t="s">
        <v>42</v>
      </c>
      <c r="I13" s="50" t="s">
        <v>25</v>
      </c>
      <c r="J13" s="50" t="s">
        <v>42</v>
      </c>
      <c r="K13" s="50" t="s">
        <v>41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3">
      <c r="B14" s="50" t="s">
        <v>626</v>
      </c>
      <c r="C14" s="50">
        <v>7838</v>
      </c>
      <c r="D14" s="50">
        <v>5366</v>
      </c>
      <c r="E14" s="50" t="s">
        <v>23</v>
      </c>
      <c r="F14" s="50">
        <v>1</v>
      </c>
      <c r="G14" s="50" t="s">
        <v>614</v>
      </c>
      <c r="H14" s="50" t="s">
        <v>42</v>
      </c>
      <c r="I14" s="50" t="s">
        <v>86</v>
      </c>
      <c r="J14" s="50" t="s">
        <v>563</v>
      </c>
      <c r="K14" s="50" t="s">
        <v>41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3">
      <c r="B15" s="50" t="s">
        <v>627</v>
      </c>
      <c r="C15" s="50">
        <v>7839</v>
      </c>
      <c r="D15" s="50">
        <v>5366</v>
      </c>
      <c r="E15" s="50" t="s">
        <v>564</v>
      </c>
      <c r="F15" s="50">
        <v>1</v>
      </c>
      <c r="G15" s="50" t="s">
        <v>614</v>
      </c>
      <c r="H15" s="50" t="s">
        <v>42</v>
      </c>
      <c r="I15" s="50" t="s">
        <v>86</v>
      </c>
      <c r="J15" s="50" t="s">
        <v>563</v>
      </c>
      <c r="K15" s="50" t="s">
        <v>41</v>
      </c>
      <c r="L15" s="50">
        <v>0.4</v>
      </c>
      <c r="M15" s="50">
        <v>0.32</v>
      </c>
      <c r="N15" s="50">
        <v>0.24</v>
      </c>
      <c r="O15" s="50">
        <v>0.16</v>
      </c>
      <c r="P15" s="50">
        <v>0.08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8311-8F0D-48B6-BE78-90F394ABAFD3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8" t="s">
        <v>1037</v>
      </c>
      <c r="B1" s="78" t="s">
        <v>22</v>
      </c>
      <c r="C1" s="78" t="s">
        <v>1036</v>
      </c>
      <c r="D1" s="78" t="s">
        <v>1035</v>
      </c>
      <c r="E1" s="78" t="s">
        <v>36</v>
      </c>
      <c r="F1" s="78" t="s">
        <v>1034</v>
      </c>
      <c r="G1" s="78" t="s">
        <v>1033</v>
      </c>
      <c r="H1" s="78" t="s">
        <v>531</v>
      </c>
      <c r="I1" s="78" t="s">
        <v>38</v>
      </c>
      <c r="J1" s="78" t="s">
        <v>530</v>
      </c>
      <c r="K1" s="78" t="s">
        <v>529</v>
      </c>
      <c r="L1" s="78" t="s">
        <v>528</v>
      </c>
    </row>
    <row r="2" spans="1:12" x14ac:dyDescent="0.2">
      <c r="A2" s="74" t="s">
        <v>1032</v>
      </c>
      <c r="B2" s="80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552.47033478499952</v>
      </c>
      <c r="C2" s="80">
        <f t="shared" si="0"/>
        <v>519.22433233776076</v>
      </c>
      <c r="D2" s="80">
        <f t="shared" si="0"/>
        <v>508.14233152201433</v>
      </c>
      <c r="E2" s="80">
        <f t="shared" si="0"/>
        <v>552.47033478499952</v>
      </c>
      <c r="F2" s="80">
        <f t="shared" si="0"/>
        <v>303.77719883163405</v>
      </c>
      <c r="G2" s="80">
        <f t="shared" si="0"/>
        <v>331.48220087099975</v>
      </c>
      <c r="H2" s="80">
        <f t="shared" si="0"/>
        <v>0</v>
      </c>
      <c r="I2" s="80">
        <f t="shared" si="0"/>
        <v>941.71248546893003</v>
      </c>
      <c r="J2" s="80">
        <f t="shared" si="0"/>
        <v>0</v>
      </c>
      <c r="K2" s="80">
        <f t="shared" si="0"/>
        <v>0</v>
      </c>
      <c r="L2" s="80">
        <f t="shared" si="0"/>
        <v>0</v>
      </c>
    </row>
    <row r="3" spans="1:12" ht="10.8" thickBot="1" x14ac:dyDescent="0.25">
      <c r="A3" s="72" t="s">
        <v>1031</v>
      </c>
      <c r="B3" s="79">
        <v>16.95</v>
      </c>
      <c r="C3" s="79">
        <v>15.93</v>
      </c>
      <c r="D3" s="79">
        <v>15.59</v>
      </c>
      <c r="E3" s="79">
        <v>16.95</v>
      </c>
      <c r="F3" s="79">
        <v>9.32</v>
      </c>
      <c r="G3" s="79">
        <v>10.17</v>
      </c>
      <c r="H3" s="79">
        <v>0</v>
      </c>
      <c r="I3" s="79">
        <f>'TUSD BE'!$AC$6</f>
        <v>28.89209722891307</v>
      </c>
      <c r="J3" s="79">
        <v>0</v>
      </c>
      <c r="K3" s="79">
        <v>0</v>
      </c>
      <c r="L3" s="79">
        <v>0</v>
      </c>
    </row>
    <row r="5" spans="1:12" ht="10.8" thickBot="1" x14ac:dyDescent="0.25">
      <c r="A5" s="78" t="s">
        <v>1030</v>
      </c>
      <c r="B5" s="78" t="s">
        <v>1029</v>
      </c>
    </row>
    <row r="6" spans="1:12" x14ac:dyDescent="0.2">
      <c r="A6" s="74" t="s">
        <v>1028</v>
      </c>
      <c r="B6" s="77">
        <v>9.9699999999999997E-2</v>
      </c>
    </row>
    <row r="7" spans="1:12" x14ac:dyDescent="0.2">
      <c r="A7" s="76" t="s">
        <v>1027</v>
      </c>
      <c r="B7" s="75">
        <v>0</v>
      </c>
    </row>
    <row r="8" spans="1:12" x14ac:dyDescent="0.2">
      <c r="A8" s="74" t="s">
        <v>1026</v>
      </c>
      <c r="B8" s="73">
        <v>7973045.1399999997</v>
      </c>
    </row>
    <row r="9" spans="1:12" x14ac:dyDescent="0.2">
      <c r="A9" s="76" t="s">
        <v>1025</v>
      </c>
      <c r="B9" s="75">
        <v>0.04</v>
      </c>
    </row>
    <row r="10" spans="1:12" x14ac:dyDescent="0.2">
      <c r="A10" s="74" t="s">
        <v>1024</v>
      </c>
      <c r="B10" s="73">
        <v>5592724.7999999998</v>
      </c>
    </row>
    <row r="11" spans="1:12" ht="10.8" thickBot="1" x14ac:dyDescent="0.25">
      <c r="A11" s="72" t="s">
        <v>1023</v>
      </c>
      <c r="B11" s="71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7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CEA1-BEBC-4311-BE9D-78ED8AE71E9A}">
  <dimension ref="B1:AT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24" t="s">
        <v>1077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spans="2:46" ht="12" customHeight="1" x14ac:dyDescent="0.3">
      <c r="L2" s="125" t="s">
        <v>396</v>
      </c>
      <c r="M2" s="125"/>
      <c r="N2" s="125"/>
      <c r="O2" s="125"/>
      <c r="P2" s="125"/>
      <c r="Q2" s="125"/>
      <c r="R2" s="125"/>
      <c r="S2" s="126"/>
      <c r="T2" s="125" t="s">
        <v>405</v>
      </c>
      <c r="U2" s="125"/>
      <c r="V2" s="125"/>
      <c r="W2" s="125"/>
      <c r="X2" s="125"/>
      <c r="Y2" s="125"/>
      <c r="Z2" s="126"/>
      <c r="AA2" s="127" t="s">
        <v>413</v>
      </c>
      <c r="AB2" s="125" t="s">
        <v>25</v>
      </c>
      <c r="AC2" s="125"/>
      <c r="AD2" s="126"/>
      <c r="AE2" s="125" t="s">
        <v>1076</v>
      </c>
      <c r="AF2" s="125"/>
      <c r="AG2" s="125"/>
      <c r="AH2" s="126"/>
      <c r="AI2" s="125" t="s">
        <v>396</v>
      </c>
      <c r="AJ2" s="125"/>
      <c r="AK2" s="125"/>
      <c r="AL2" s="125"/>
      <c r="AM2" s="126"/>
      <c r="AN2" s="127" t="s">
        <v>427</v>
      </c>
      <c r="AO2" s="125" t="s">
        <v>405</v>
      </c>
      <c r="AP2" s="125"/>
      <c r="AQ2" s="125"/>
      <c r="AR2" s="125"/>
      <c r="AS2" s="126"/>
      <c r="AT2" s="128" t="s">
        <v>1076</v>
      </c>
    </row>
    <row r="3" spans="2:46" ht="12" customHeight="1" x14ac:dyDescent="0.3">
      <c r="B3" s="115" t="s">
        <v>58</v>
      </c>
      <c r="C3" s="116" t="s">
        <v>59</v>
      </c>
      <c r="D3" s="116" t="s">
        <v>60</v>
      </c>
      <c r="E3" s="116" t="s">
        <v>61</v>
      </c>
      <c r="F3" s="116" t="s">
        <v>62</v>
      </c>
      <c r="G3" s="116" t="s">
        <v>64</v>
      </c>
      <c r="H3" s="116" t="s">
        <v>65</v>
      </c>
      <c r="I3" s="116" t="s">
        <v>673</v>
      </c>
      <c r="J3" s="116" t="s">
        <v>1038</v>
      </c>
      <c r="K3" s="116" t="s">
        <v>1039</v>
      </c>
      <c r="L3" s="116" t="s">
        <v>1040</v>
      </c>
      <c r="M3" s="116" t="s">
        <v>1041</v>
      </c>
      <c r="N3" s="116" t="s">
        <v>1042</v>
      </c>
      <c r="O3" s="116" t="s">
        <v>1043</v>
      </c>
      <c r="P3" s="116" t="s">
        <v>1044</v>
      </c>
      <c r="Q3" s="116" t="s">
        <v>1045</v>
      </c>
      <c r="R3" s="116" t="s">
        <v>1046</v>
      </c>
      <c r="S3" s="116" t="s">
        <v>1047</v>
      </c>
      <c r="T3" s="116" t="s">
        <v>1048</v>
      </c>
      <c r="U3" s="116" t="s">
        <v>1049</v>
      </c>
      <c r="V3" s="116" t="s">
        <v>1050</v>
      </c>
      <c r="W3" s="116" t="s">
        <v>1051</v>
      </c>
      <c r="X3" s="116" t="s">
        <v>1052</v>
      </c>
      <c r="Y3" s="116" t="s">
        <v>1053</v>
      </c>
      <c r="Z3" s="116" t="s">
        <v>1054</v>
      </c>
      <c r="AA3" s="116" t="s">
        <v>1055</v>
      </c>
      <c r="AB3" s="116" t="s">
        <v>1056</v>
      </c>
      <c r="AC3" s="116" t="s">
        <v>1057</v>
      </c>
      <c r="AD3" s="116" t="s">
        <v>1058</v>
      </c>
      <c r="AE3" s="116" t="s">
        <v>1059</v>
      </c>
      <c r="AF3" s="116" t="s">
        <v>1060</v>
      </c>
      <c r="AG3" s="116" t="s">
        <v>1061</v>
      </c>
      <c r="AH3" s="116" t="s">
        <v>1062</v>
      </c>
      <c r="AI3" s="116" t="s">
        <v>1063</v>
      </c>
      <c r="AJ3" s="116" t="s">
        <v>1064</v>
      </c>
      <c r="AK3" s="116" t="s">
        <v>1065</v>
      </c>
      <c r="AL3" s="116" t="s">
        <v>1066</v>
      </c>
      <c r="AM3" s="116" t="s">
        <v>1067</v>
      </c>
      <c r="AN3" s="116" t="s">
        <v>1068</v>
      </c>
      <c r="AO3" s="116" t="s">
        <v>1069</v>
      </c>
      <c r="AP3" s="116" t="s">
        <v>1070</v>
      </c>
      <c r="AQ3" s="116" t="s">
        <v>1071</v>
      </c>
      <c r="AR3" s="116" t="s">
        <v>1072</v>
      </c>
      <c r="AS3" s="116" t="s">
        <v>1073</v>
      </c>
      <c r="AT3" s="117" t="s">
        <v>1074</v>
      </c>
    </row>
    <row r="4" spans="2:46" ht="12" customHeight="1" x14ac:dyDescent="0.3">
      <c r="B4" s="118" t="s">
        <v>38</v>
      </c>
      <c r="C4" s="119" t="s">
        <v>73</v>
      </c>
      <c r="D4" s="119" t="s">
        <v>25</v>
      </c>
      <c r="E4" s="119" t="s">
        <v>25</v>
      </c>
      <c r="F4" s="119" t="s">
        <v>77</v>
      </c>
      <c r="G4" s="119" t="s">
        <v>40</v>
      </c>
      <c r="H4" s="119" t="s">
        <v>68</v>
      </c>
      <c r="I4" s="119" t="s">
        <v>25</v>
      </c>
      <c r="J4" s="119">
        <v>12.33</v>
      </c>
      <c r="K4" s="119">
        <v>0</v>
      </c>
      <c r="L4" s="119">
        <v>0</v>
      </c>
      <c r="M4" s="119">
        <v>1.4748435059753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>
        <v>0</v>
      </c>
      <c r="V4" s="119">
        <v>0</v>
      </c>
      <c r="W4" s="119">
        <v>0</v>
      </c>
      <c r="X4" s="119">
        <v>0</v>
      </c>
      <c r="Y4" s="119">
        <v>0</v>
      </c>
      <c r="Z4" s="119">
        <v>0</v>
      </c>
      <c r="AA4" s="119">
        <v>0</v>
      </c>
      <c r="AB4" s="119">
        <v>0</v>
      </c>
      <c r="AC4" s="119">
        <v>0</v>
      </c>
      <c r="AD4" s="119">
        <v>0</v>
      </c>
      <c r="AE4" s="119">
        <v>10.858487746163799</v>
      </c>
      <c r="AF4" s="119">
        <v>0</v>
      </c>
      <c r="AG4" s="119">
        <v>0</v>
      </c>
      <c r="AH4" s="119">
        <v>0</v>
      </c>
      <c r="AI4" s="119">
        <v>0</v>
      </c>
      <c r="AJ4" s="119">
        <v>0</v>
      </c>
      <c r="AK4" s="119">
        <v>0</v>
      </c>
      <c r="AL4" s="119">
        <v>0</v>
      </c>
      <c r="AM4" s="119">
        <v>0</v>
      </c>
      <c r="AN4" s="119">
        <v>0</v>
      </c>
      <c r="AO4" s="119">
        <v>0</v>
      </c>
      <c r="AP4" s="119">
        <v>0</v>
      </c>
      <c r="AQ4" s="119">
        <v>0</v>
      </c>
      <c r="AR4" s="119">
        <v>0</v>
      </c>
      <c r="AS4" s="119">
        <v>0</v>
      </c>
      <c r="AT4" s="120">
        <v>0</v>
      </c>
    </row>
    <row r="5" spans="2:46" ht="12" customHeight="1" x14ac:dyDescent="0.3">
      <c r="B5" s="118" t="s">
        <v>38</v>
      </c>
      <c r="C5" s="119" t="s">
        <v>73</v>
      </c>
      <c r="D5" s="119" t="s">
        <v>25</v>
      </c>
      <c r="E5" s="119" t="s">
        <v>25</v>
      </c>
      <c r="F5" s="119" t="s">
        <v>77</v>
      </c>
      <c r="G5" s="119" t="s">
        <v>40</v>
      </c>
      <c r="H5" s="119" t="s">
        <v>74</v>
      </c>
      <c r="I5" s="119" t="s">
        <v>25</v>
      </c>
      <c r="J5" s="119">
        <v>100.2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>
        <v>0</v>
      </c>
      <c r="X5" s="119">
        <v>33.852441038833597</v>
      </c>
      <c r="Y5" s="119">
        <v>0</v>
      </c>
      <c r="Z5" s="119">
        <v>0</v>
      </c>
      <c r="AA5" s="119">
        <v>66.343763704430103</v>
      </c>
      <c r="AB5" s="119">
        <v>0</v>
      </c>
      <c r="AC5" s="119">
        <v>0</v>
      </c>
      <c r="AD5" s="119">
        <v>0</v>
      </c>
      <c r="AE5" s="119">
        <v>0</v>
      </c>
      <c r="AF5" s="119">
        <v>0</v>
      </c>
      <c r="AG5" s="119">
        <v>0</v>
      </c>
      <c r="AH5" s="119">
        <v>0</v>
      </c>
      <c r="AI5" s="119">
        <v>0</v>
      </c>
      <c r="AJ5" s="119">
        <v>0</v>
      </c>
      <c r="AK5" s="119">
        <v>0</v>
      </c>
      <c r="AL5" s="119">
        <v>0</v>
      </c>
      <c r="AM5" s="119">
        <v>0</v>
      </c>
      <c r="AN5" s="119">
        <v>0</v>
      </c>
      <c r="AO5" s="119">
        <v>0</v>
      </c>
      <c r="AP5" s="119">
        <v>0</v>
      </c>
      <c r="AQ5" s="119">
        <v>0</v>
      </c>
      <c r="AR5" s="119">
        <v>0</v>
      </c>
      <c r="AS5" s="119">
        <v>0</v>
      </c>
      <c r="AT5" s="120">
        <v>0</v>
      </c>
    </row>
    <row r="6" spans="2:46" ht="12" customHeight="1" x14ac:dyDescent="0.3">
      <c r="B6" s="118" t="s">
        <v>38</v>
      </c>
      <c r="C6" s="119" t="s">
        <v>73</v>
      </c>
      <c r="D6" s="119" t="s">
        <v>25</v>
      </c>
      <c r="E6" s="119" t="s">
        <v>25</v>
      </c>
      <c r="F6" s="119" t="s">
        <v>77</v>
      </c>
      <c r="G6" s="119" t="s">
        <v>34</v>
      </c>
      <c r="H6" s="119" t="s">
        <v>68</v>
      </c>
      <c r="I6" s="119" t="s">
        <v>25</v>
      </c>
      <c r="J6" s="119">
        <v>12.33</v>
      </c>
      <c r="K6" s="119">
        <v>0</v>
      </c>
      <c r="L6" s="119">
        <v>0</v>
      </c>
      <c r="M6" s="119">
        <v>1.4748435059753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>
        <v>0</v>
      </c>
      <c r="X6" s="119">
        <v>0</v>
      </c>
      <c r="Y6" s="119">
        <v>0</v>
      </c>
      <c r="Z6" s="119">
        <v>0</v>
      </c>
      <c r="AA6" s="119">
        <v>0</v>
      </c>
      <c r="AB6" s="119">
        <v>0</v>
      </c>
      <c r="AC6" s="119">
        <v>0</v>
      </c>
      <c r="AD6" s="119">
        <v>0</v>
      </c>
      <c r="AE6" s="119">
        <v>10.858487746163799</v>
      </c>
      <c r="AF6" s="119">
        <v>0</v>
      </c>
      <c r="AG6" s="119">
        <v>0</v>
      </c>
      <c r="AH6" s="119">
        <v>0</v>
      </c>
      <c r="AI6" s="119">
        <v>0</v>
      </c>
      <c r="AJ6" s="119">
        <v>0</v>
      </c>
      <c r="AK6" s="119">
        <v>0</v>
      </c>
      <c r="AL6" s="119">
        <v>0</v>
      </c>
      <c r="AM6" s="119">
        <v>0</v>
      </c>
      <c r="AN6" s="119">
        <v>0</v>
      </c>
      <c r="AO6" s="119">
        <v>0</v>
      </c>
      <c r="AP6" s="119">
        <v>0</v>
      </c>
      <c r="AQ6" s="119">
        <v>0</v>
      </c>
      <c r="AR6" s="119">
        <v>0</v>
      </c>
      <c r="AS6" s="119">
        <v>0</v>
      </c>
      <c r="AT6" s="120">
        <v>0</v>
      </c>
    </row>
    <row r="7" spans="2:46" ht="12" customHeight="1" x14ac:dyDescent="0.3">
      <c r="B7" s="118" t="s">
        <v>38</v>
      </c>
      <c r="C7" s="119" t="s">
        <v>73</v>
      </c>
      <c r="D7" s="119" t="s">
        <v>25</v>
      </c>
      <c r="E7" s="119" t="s">
        <v>25</v>
      </c>
      <c r="F7" s="119" t="s">
        <v>77</v>
      </c>
      <c r="G7" s="119" t="s">
        <v>34</v>
      </c>
      <c r="H7" s="119" t="s">
        <v>74</v>
      </c>
      <c r="I7" s="119" t="s">
        <v>25</v>
      </c>
      <c r="J7" s="119">
        <v>32.21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>
        <v>0</v>
      </c>
      <c r="X7" s="119">
        <v>15.423954902031101</v>
      </c>
      <c r="Y7" s="119">
        <v>0</v>
      </c>
      <c r="Z7" s="119">
        <v>0</v>
      </c>
      <c r="AA7" s="119">
        <v>16.7856192622497</v>
      </c>
      <c r="AB7" s="119">
        <v>0</v>
      </c>
      <c r="AC7" s="119">
        <v>0</v>
      </c>
      <c r="AD7" s="119">
        <v>0</v>
      </c>
      <c r="AE7" s="119">
        <v>0</v>
      </c>
      <c r="AF7" s="119">
        <v>0</v>
      </c>
      <c r="AG7" s="119">
        <v>0</v>
      </c>
      <c r="AH7" s="119">
        <v>0</v>
      </c>
      <c r="AI7" s="119">
        <v>0</v>
      </c>
      <c r="AJ7" s="119">
        <v>0</v>
      </c>
      <c r="AK7" s="119">
        <v>0</v>
      </c>
      <c r="AL7" s="119">
        <v>0</v>
      </c>
      <c r="AM7" s="119">
        <v>0</v>
      </c>
      <c r="AN7" s="119">
        <v>0</v>
      </c>
      <c r="AO7" s="119">
        <v>0</v>
      </c>
      <c r="AP7" s="119">
        <v>0</v>
      </c>
      <c r="AQ7" s="119">
        <v>0</v>
      </c>
      <c r="AR7" s="119">
        <v>0</v>
      </c>
      <c r="AS7" s="119">
        <v>0</v>
      </c>
      <c r="AT7" s="120">
        <v>0</v>
      </c>
    </row>
    <row r="8" spans="2:46" ht="12" customHeight="1" x14ac:dyDescent="0.3">
      <c r="B8" s="118" t="s">
        <v>38</v>
      </c>
      <c r="C8" s="119" t="s">
        <v>73</v>
      </c>
      <c r="D8" s="119" t="s">
        <v>25</v>
      </c>
      <c r="E8" s="119" t="s">
        <v>25</v>
      </c>
      <c r="F8" s="119" t="s">
        <v>25</v>
      </c>
      <c r="G8" s="119" t="s">
        <v>40</v>
      </c>
      <c r="H8" s="119" t="s">
        <v>68</v>
      </c>
      <c r="I8" s="119" t="s">
        <v>25</v>
      </c>
      <c r="J8" s="119">
        <v>126.58</v>
      </c>
      <c r="K8" s="119">
        <v>269.20999999999998</v>
      </c>
      <c r="L8" s="119">
        <v>24.3277694747126</v>
      </c>
      <c r="M8" s="119">
        <v>1.4748435059753</v>
      </c>
      <c r="N8" s="119">
        <v>0</v>
      </c>
      <c r="O8" s="119">
        <v>0</v>
      </c>
      <c r="P8" s="119">
        <v>0</v>
      </c>
      <c r="Q8" s="119">
        <v>75.694597088139105</v>
      </c>
      <c r="R8" s="119">
        <v>14.226372618008201</v>
      </c>
      <c r="S8" s="119">
        <v>0</v>
      </c>
      <c r="T8" s="119">
        <v>0</v>
      </c>
      <c r="U8" s="119">
        <v>0</v>
      </c>
      <c r="V8" s="119">
        <v>0</v>
      </c>
      <c r="W8" s="119">
        <v>0</v>
      </c>
      <c r="X8" s="119">
        <v>0</v>
      </c>
      <c r="Y8" s="119">
        <v>0</v>
      </c>
      <c r="Z8" s="119">
        <v>0</v>
      </c>
      <c r="AA8" s="119">
        <v>0</v>
      </c>
      <c r="AB8" s="119">
        <v>0</v>
      </c>
      <c r="AC8" s="119">
        <v>0</v>
      </c>
      <c r="AD8" s="119">
        <v>0</v>
      </c>
      <c r="AE8" s="119">
        <v>10.858487746163799</v>
      </c>
      <c r="AF8" s="119">
        <v>0</v>
      </c>
      <c r="AG8" s="119">
        <v>0</v>
      </c>
      <c r="AH8" s="119">
        <v>0</v>
      </c>
      <c r="AI8" s="119">
        <v>0</v>
      </c>
      <c r="AJ8" s="119">
        <v>0</v>
      </c>
      <c r="AK8" s="119">
        <v>0</v>
      </c>
      <c r="AL8" s="119">
        <v>0</v>
      </c>
      <c r="AM8" s="119">
        <v>0</v>
      </c>
      <c r="AN8" s="119">
        <v>269.209394238024</v>
      </c>
      <c r="AO8" s="119">
        <v>0</v>
      </c>
      <c r="AP8" s="119">
        <v>0</v>
      </c>
      <c r="AQ8" s="119">
        <v>0</v>
      </c>
      <c r="AR8" s="119">
        <v>0</v>
      </c>
      <c r="AS8" s="119">
        <v>0</v>
      </c>
      <c r="AT8" s="120">
        <v>0</v>
      </c>
    </row>
    <row r="9" spans="2:46" ht="12" customHeight="1" x14ac:dyDescent="0.3">
      <c r="B9" s="118" t="s">
        <v>38</v>
      </c>
      <c r="C9" s="119" t="s">
        <v>73</v>
      </c>
      <c r="D9" s="119" t="s">
        <v>25</v>
      </c>
      <c r="E9" s="119" t="s">
        <v>25</v>
      </c>
      <c r="F9" s="119" t="s">
        <v>25</v>
      </c>
      <c r="G9" s="119" t="s">
        <v>40</v>
      </c>
      <c r="H9" s="119" t="s">
        <v>74</v>
      </c>
      <c r="I9" s="119" t="s">
        <v>25</v>
      </c>
      <c r="J9" s="119">
        <v>100.2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>
        <v>0</v>
      </c>
      <c r="X9" s="119">
        <v>33.852441038833597</v>
      </c>
      <c r="Y9" s="119">
        <v>0</v>
      </c>
      <c r="Z9" s="119">
        <v>0</v>
      </c>
      <c r="AA9" s="119">
        <v>66.343763704430103</v>
      </c>
      <c r="AB9" s="119">
        <v>0</v>
      </c>
      <c r="AC9" s="119">
        <v>0</v>
      </c>
      <c r="AD9" s="119">
        <v>0</v>
      </c>
      <c r="AE9" s="119">
        <v>0</v>
      </c>
      <c r="AF9" s="119">
        <v>0</v>
      </c>
      <c r="AG9" s="119">
        <v>0</v>
      </c>
      <c r="AH9" s="119">
        <v>0</v>
      </c>
      <c r="AI9" s="119">
        <v>0</v>
      </c>
      <c r="AJ9" s="119">
        <v>0</v>
      </c>
      <c r="AK9" s="119">
        <v>0</v>
      </c>
      <c r="AL9" s="119">
        <v>0</v>
      </c>
      <c r="AM9" s="119">
        <v>0</v>
      </c>
      <c r="AN9" s="119">
        <v>0</v>
      </c>
      <c r="AO9" s="119">
        <v>0</v>
      </c>
      <c r="AP9" s="119">
        <v>0</v>
      </c>
      <c r="AQ9" s="119">
        <v>0</v>
      </c>
      <c r="AR9" s="119">
        <v>0</v>
      </c>
      <c r="AS9" s="119">
        <v>0</v>
      </c>
      <c r="AT9" s="120">
        <v>0</v>
      </c>
    </row>
    <row r="10" spans="2:46" ht="12" customHeight="1" x14ac:dyDescent="0.3">
      <c r="B10" s="118" t="s">
        <v>38</v>
      </c>
      <c r="C10" s="119" t="s">
        <v>73</v>
      </c>
      <c r="D10" s="119" t="s">
        <v>25</v>
      </c>
      <c r="E10" s="119" t="s">
        <v>25</v>
      </c>
      <c r="F10" s="119" t="s">
        <v>25</v>
      </c>
      <c r="G10" s="119" t="s">
        <v>34</v>
      </c>
      <c r="H10" s="119" t="s">
        <v>68</v>
      </c>
      <c r="I10" s="119" t="s">
        <v>25</v>
      </c>
      <c r="J10" s="119">
        <v>126.58</v>
      </c>
      <c r="K10" s="119">
        <v>269.20999999999998</v>
      </c>
      <c r="L10" s="119">
        <v>24.3277694747126</v>
      </c>
      <c r="M10" s="119">
        <v>1.4748435059753</v>
      </c>
      <c r="N10" s="119">
        <v>0</v>
      </c>
      <c r="O10" s="119">
        <v>0</v>
      </c>
      <c r="P10" s="119">
        <v>0</v>
      </c>
      <c r="Q10" s="119">
        <v>75.694597088139105</v>
      </c>
      <c r="R10" s="119">
        <v>14.226372618008201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  <c r="Y10" s="119">
        <v>0</v>
      </c>
      <c r="Z10" s="119">
        <v>0</v>
      </c>
      <c r="AA10" s="119">
        <v>0</v>
      </c>
      <c r="AB10" s="119">
        <v>0</v>
      </c>
      <c r="AC10" s="119">
        <v>0</v>
      </c>
      <c r="AD10" s="119">
        <v>0</v>
      </c>
      <c r="AE10" s="119">
        <v>10.858487746163799</v>
      </c>
      <c r="AF10" s="119">
        <v>0</v>
      </c>
      <c r="AG10" s="119">
        <v>0</v>
      </c>
      <c r="AH10" s="119">
        <v>0</v>
      </c>
      <c r="AI10" s="119">
        <v>0</v>
      </c>
      <c r="AJ10" s="119">
        <v>0</v>
      </c>
      <c r="AK10" s="119">
        <v>0</v>
      </c>
      <c r="AL10" s="119">
        <v>0</v>
      </c>
      <c r="AM10" s="119">
        <v>0</v>
      </c>
      <c r="AN10" s="119">
        <v>269.209394238024</v>
      </c>
      <c r="AO10" s="119">
        <v>0</v>
      </c>
      <c r="AP10" s="119">
        <v>0</v>
      </c>
      <c r="AQ10" s="119">
        <v>0</v>
      </c>
      <c r="AR10" s="119">
        <v>0</v>
      </c>
      <c r="AS10" s="119">
        <v>0</v>
      </c>
      <c r="AT10" s="120">
        <v>0</v>
      </c>
    </row>
    <row r="11" spans="2:46" ht="12" customHeight="1" x14ac:dyDescent="0.3">
      <c r="B11" s="118" t="s">
        <v>38</v>
      </c>
      <c r="C11" s="119" t="s">
        <v>73</v>
      </c>
      <c r="D11" s="119" t="s">
        <v>25</v>
      </c>
      <c r="E11" s="119" t="s">
        <v>25</v>
      </c>
      <c r="F11" s="119" t="s">
        <v>25</v>
      </c>
      <c r="G11" s="119" t="s">
        <v>34</v>
      </c>
      <c r="H11" s="119" t="s">
        <v>74</v>
      </c>
      <c r="I11" s="119" t="s">
        <v>25</v>
      </c>
      <c r="J11" s="119">
        <v>32.21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>
        <v>0</v>
      </c>
      <c r="X11" s="119">
        <v>15.423954902031101</v>
      </c>
      <c r="Y11" s="119">
        <v>0</v>
      </c>
      <c r="Z11" s="119">
        <v>0</v>
      </c>
      <c r="AA11" s="119">
        <v>16.7856192622497</v>
      </c>
      <c r="AB11" s="119">
        <v>0</v>
      </c>
      <c r="AC11" s="119">
        <v>0</v>
      </c>
      <c r="AD11" s="119">
        <v>0</v>
      </c>
      <c r="AE11" s="119">
        <v>0</v>
      </c>
      <c r="AF11" s="119">
        <v>0</v>
      </c>
      <c r="AG11" s="119">
        <v>0</v>
      </c>
      <c r="AH11" s="119">
        <v>0</v>
      </c>
      <c r="AI11" s="119">
        <v>0</v>
      </c>
      <c r="AJ11" s="119">
        <v>0</v>
      </c>
      <c r="AK11" s="119">
        <v>0</v>
      </c>
      <c r="AL11" s="119">
        <v>0</v>
      </c>
      <c r="AM11" s="119">
        <v>0</v>
      </c>
      <c r="AN11" s="119">
        <v>0</v>
      </c>
      <c r="AO11" s="119">
        <v>0</v>
      </c>
      <c r="AP11" s="119">
        <v>0</v>
      </c>
      <c r="AQ11" s="119">
        <v>0</v>
      </c>
      <c r="AR11" s="119">
        <v>0</v>
      </c>
      <c r="AS11" s="119">
        <v>0</v>
      </c>
      <c r="AT11" s="120">
        <v>0</v>
      </c>
    </row>
    <row r="12" spans="2:46" ht="12" customHeight="1" x14ac:dyDescent="0.3">
      <c r="B12" s="118" t="s">
        <v>38</v>
      </c>
      <c r="C12" s="119" t="s">
        <v>23</v>
      </c>
      <c r="D12" s="119" t="s">
        <v>25</v>
      </c>
      <c r="E12" s="119" t="s">
        <v>25</v>
      </c>
      <c r="F12" s="119" t="s">
        <v>25</v>
      </c>
      <c r="G12" s="119" t="s">
        <v>25</v>
      </c>
      <c r="H12" s="119" t="s">
        <v>68</v>
      </c>
      <c r="I12" s="119" t="s">
        <v>25</v>
      </c>
      <c r="J12" s="119">
        <v>0</v>
      </c>
      <c r="K12" s="119">
        <v>269.20999999999998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19">
        <v>0</v>
      </c>
      <c r="AA12" s="119">
        <v>0</v>
      </c>
      <c r="AB12" s="119">
        <v>0</v>
      </c>
      <c r="AC12" s="119">
        <v>0</v>
      </c>
      <c r="AD12" s="119">
        <v>0</v>
      </c>
      <c r="AE12" s="119">
        <v>0</v>
      </c>
      <c r="AF12" s="119">
        <v>0</v>
      </c>
      <c r="AG12" s="119">
        <v>0</v>
      </c>
      <c r="AH12" s="119">
        <v>0</v>
      </c>
      <c r="AI12" s="119">
        <v>0</v>
      </c>
      <c r="AJ12" s="119">
        <v>0</v>
      </c>
      <c r="AK12" s="119">
        <v>0</v>
      </c>
      <c r="AL12" s="119">
        <v>0</v>
      </c>
      <c r="AM12" s="119">
        <v>0</v>
      </c>
      <c r="AN12" s="119">
        <v>269.209394238024</v>
      </c>
      <c r="AO12" s="119">
        <v>0</v>
      </c>
      <c r="AP12" s="119">
        <v>0</v>
      </c>
      <c r="AQ12" s="119">
        <v>0</v>
      </c>
      <c r="AR12" s="119">
        <v>0</v>
      </c>
      <c r="AS12" s="119">
        <v>0</v>
      </c>
      <c r="AT12" s="120">
        <v>0</v>
      </c>
    </row>
    <row r="13" spans="2:46" ht="12" customHeight="1" x14ac:dyDescent="0.3">
      <c r="B13" s="118" t="s">
        <v>38</v>
      </c>
      <c r="C13" s="119" t="s">
        <v>78</v>
      </c>
      <c r="D13" s="119" t="s">
        <v>25</v>
      </c>
      <c r="E13" s="119" t="s">
        <v>25</v>
      </c>
      <c r="F13" s="119" t="s">
        <v>25</v>
      </c>
      <c r="G13" s="119" t="s">
        <v>25</v>
      </c>
      <c r="H13" s="119" t="s">
        <v>74</v>
      </c>
      <c r="I13" s="119" t="s">
        <v>25</v>
      </c>
      <c r="J13" s="119">
        <v>10.34</v>
      </c>
      <c r="K13" s="119">
        <v>0</v>
      </c>
      <c r="L13" s="119">
        <v>0</v>
      </c>
      <c r="M13" s="119">
        <v>3.0836327116587899E-2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19">
        <v>0</v>
      </c>
      <c r="AA13" s="119">
        <v>10.3110952382214</v>
      </c>
      <c r="AB13" s="119">
        <v>0</v>
      </c>
      <c r="AC13" s="119">
        <v>0</v>
      </c>
      <c r="AD13" s="119">
        <v>0</v>
      </c>
      <c r="AE13" s="119">
        <v>0</v>
      </c>
      <c r="AF13" s="119">
        <v>0</v>
      </c>
      <c r="AG13" s="119">
        <v>0</v>
      </c>
      <c r="AH13" s="119">
        <v>0</v>
      </c>
      <c r="AI13" s="119">
        <v>0</v>
      </c>
      <c r="AJ13" s="119">
        <v>0</v>
      </c>
      <c r="AK13" s="119">
        <v>0</v>
      </c>
      <c r="AL13" s="119">
        <v>0</v>
      </c>
      <c r="AM13" s="119">
        <v>0</v>
      </c>
      <c r="AN13" s="119">
        <v>0</v>
      </c>
      <c r="AO13" s="119">
        <v>0</v>
      </c>
      <c r="AP13" s="119">
        <v>0</v>
      </c>
      <c r="AQ13" s="119">
        <v>0</v>
      </c>
      <c r="AR13" s="119">
        <v>0</v>
      </c>
      <c r="AS13" s="119">
        <v>0</v>
      </c>
      <c r="AT13" s="120">
        <v>0</v>
      </c>
    </row>
    <row r="14" spans="2:46" ht="12" customHeight="1" x14ac:dyDescent="0.3">
      <c r="B14" s="118" t="s">
        <v>38</v>
      </c>
      <c r="C14" s="119" t="s">
        <v>39</v>
      </c>
      <c r="D14" s="119" t="s">
        <v>25</v>
      </c>
      <c r="E14" s="119" t="s">
        <v>25</v>
      </c>
      <c r="F14" s="119" t="s">
        <v>77</v>
      </c>
      <c r="G14" s="119" t="s">
        <v>40</v>
      </c>
      <c r="H14" s="119" t="s">
        <v>68</v>
      </c>
      <c r="I14" s="119" t="s">
        <v>25</v>
      </c>
      <c r="J14" s="119">
        <v>2422.02</v>
      </c>
      <c r="K14" s="119">
        <v>0</v>
      </c>
      <c r="L14" s="119">
        <v>0</v>
      </c>
      <c r="M14" s="119">
        <v>1.4748435059753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814.11926124534398</v>
      </c>
      <c r="Y14" s="119">
        <v>0</v>
      </c>
      <c r="Z14" s="119">
        <v>0</v>
      </c>
      <c r="AA14" s="119">
        <v>1595.5708413643699</v>
      </c>
      <c r="AB14" s="119">
        <v>0</v>
      </c>
      <c r="AC14" s="119">
        <v>0</v>
      </c>
      <c r="AD14" s="119">
        <v>0</v>
      </c>
      <c r="AE14" s="119">
        <v>10.858487746163799</v>
      </c>
      <c r="AF14" s="119">
        <v>0</v>
      </c>
      <c r="AG14" s="119">
        <v>0</v>
      </c>
      <c r="AH14" s="119">
        <v>0</v>
      </c>
      <c r="AI14" s="119">
        <v>0</v>
      </c>
      <c r="AJ14" s="119">
        <v>0</v>
      </c>
      <c r="AK14" s="119">
        <v>0</v>
      </c>
      <c r="AL14" s="119">
        <v>0</v>
      </c>
      <c r="AM14" s="119">
        <v>0</v>
      </c>
      <c r="AN14" s="119">
        <v>0</v>
      </c>
      <c r="AO14" s="119">
        <v>0</v>
      </c>
      <c r="AP14" s="119">
        <v>0</v>
      </c>
      <c r="AQ14" s="119">
        <v>0</v>
      </c>
      <c r="AR14" s="119">
        <v>0</v>
      </c>
      <c r="AS14" s="119">
        <v>0</v>
      </c>
      <c r="AT14" s="120">
        <v>0</v>
      </c>
    </row>
    <row r="15" spans="2:46" ht="12" customHeight="1" x14ac:dyDescent="0.3">
      <c r="B15" s="118" t="s">
        <v>38</v>
      </c>
      <c r="C15" s="119" t="s">
        <v>39</v>
      </c>
      <c r="D15" s="119" t="s">
        <v>25</v>
      </c>
      <c r="E15" s="119" t="s">
        <v>25</v>
      </c>
      <c r="F15" s="119" t="s">
        <v>77</v>
      </c>
      <c r="G15" s="119" t="s">
        <v>25</v>
      </c>
      <c r="H15" s="119" t="s">
        <v>74</v>
      </c>
      <c r="I15" s="119" t="s">
        <v>25</v>
      </c>
      <c r="J15" s="119">
        <v>32.21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15.423954902031101</v>
      </c>
      <c r="Y15" s="119">
        <v>0</v>
      </c>
      <c r="Z15" s="119">
        <v>0</v>
      </c>
      <c r="AA15" s="119">
        <v>16.7856192622497</v>
      </c>
      <c r="AB15" s="119">
        <v>0</v>
      </c>
      <c r="AC15" s="119">
        <v>0</v>
      </c>
      <c r="AD15" s="119">
        <v>0</v>
      </c>
      <c r="AE15" s="119">
        <v>0</v>
      </c>
      <c r="AF15" s="119">
        <v>0</v>
      </c>
      <c r="AG15" s="119">
        <v>0</v>
      </c>
      <c r="AH15" s="119">
        <v>0</v>
      </c>
      <c r="AI15" s="119">
        <v>0</v>
      </c>
      <c r="AJ15" s="119">
        <v>0</v>
      </c>
      <c r="AK15" s="119">
        <v>0</v>
      </c>
      <c r="AL15" s="119">
        <v>0</v>
      </c>
      <c r="AM15" s="119">
        <v>0</v>
      </c>
      <c r="AN15" s="119">
        <v>0</v>
      </c>
      <c r="AO15" s="119">
        <v>0</v>
      </c>
      <c r="AP15" s="119">
        <v>0</v>
      </c>
      <c r="AQ15" s="119">
        <v>0</v>
      </c>
      <c r="AR15" s="119">
        <v>0</v>
      </c>
      <c r="AS15" s="119">
        <v>0</v>
      </c>
      <c r="AT15" s="120">
        <v>0</v>
      </c>
    </row>
    <row r="16" spans="2:46" ht="12" customHeight="1" x14ac:dyDescent="0.3">
      <c r="B16" s="118" t="s">
        <v>38</v>
      </c>
      <c r="C16" s="119" t="s">
        <v>39</v>
      </c>
      <c r="D16" s="119" t="s">
        <v>25</v>
      </c>
      <c r="E16" s="119" t="s">
        <v>25</v>
      </c>
      <c r="F16" s="119" t="s">
        <v>77</v>
      </c>
      <c r="G16" s="119" t="s">
        <v>34</v>
      </c>
      <c r="H16" s="119" t="s">
        <v>68</v>
      </c>
      <c r="I16" s="119" t="s">
        <v>25</v>
      </c>
      <c r="J16" s="119">
        <v>12.33</v>
      </c>
      <c r="K16" s="119">
        <v>0</v>
      </c>
      <c r="L16" s="119">
        <v>0</v>
      </c>
      <c r="M16" s="119">
        <v>1.4748435059753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19">
        <v>0</v>
      </c>
      <c r="AA16" s="119">
        <v>0</v>
      </c>
      <c r="AB16" s="119">
        <v>0</v>
      </c>
      <c r="AC16" s="119">
        <v>0</v>
      </c>
      <c r="AD16" s="119">
        <v>0</v>
      </c>
      <c r="AE16" s="119">
        <v>10.858487746163799</v>
      </c>
      <c r="AF16" s="119">
        <v>0</v>
      </c>
      <c r="AG16" s="119">
        <v>0</v>
      </c>
      <c r="AH16" s="119">
        <v>0</v>
      </c>
      <c r="AI16" s="119">
        <v>0</v>
      </c>
      <c r="AJ16" s="119">
        <v>0</v>
      </c>
      <c r="AK16" s="119">
        <v>0</v>
      </c>
      <c r="AL16" s="119">
        <v>0</v>
      </c>
      <c r="AM16" s="119">
        <v>0</v>
      </c>
      <c r="AN16" s="119">
        <v>0</v>
      </c>
      <c r="AO16" s="119">
        <v>0</v>
      </c>
      <c r="AP16" s="119">
        <v>0</v>
      </c>
      <c r="AQ16" s="119">
        <v>0</v>
      </c>
      <c r="AR16" s="119">
        <v>0</v>
      </c>
      <c r="AS16" s="119">
        <v>0</v>
      </c>
      <c r="AT16" s="120">
        <v>0</v>
      </c>
    </row>
    <row r="17" spans="2:46" ht="12" customHeight="1" x14ac:dyDescent="0.3">
      <c r="B17" s="118" t="s">
        <v>38</v>
      </c>
      <c r="C17" s="119" t="s">
        <v>39</v>
      </c>
      <c r="D17" s="119" t="s">
        <v>25</v>
      </c>
      <c r="E17" s="119" t="s">
        <v>25</v>
      </c>
      <c r="F17" s="119" t="s">
        <v>25</v>
      </c>
      <c r="G17" s="119" t="s">
        <v>40</v>
      </c>
      <c r="H17" s="119" t="s">
        <v>68</v>
      </c>
      <c r="I17" s="119" t="s">
        <v>25</v>
      </c>
      <c r="J17" s="119">
        <v>2536.27</v>
      </c>
      <c r="K17" s="119">
        <v>269.20999999999998</v>
      </c>
      <c r="L17" s="119">
        <v>24.3277694747126</v>
      </c>
      <c r="M17" s="119">
        <v>1.4748435059753</v>
      </c>
      <c r="N17" s="119">
        <v>0</v>
      </c>
      <c r="O17" s="119">
        <v>0</v>
      </c>
      <c r="P17" s="119">
        <v>0</v>
      </c>
      <c r="Q17" s="119">
        <v>75.694597088139105</v>
      </c>
      <c r="R17" s="119">
        <v>14.226372618008201</v>
      </c>
      <c r="S17" s="119">
        <v>0</v>
      </c>
      <c r="T17" s="119">
        <v>0</v>
      </c>
      <c r="U17" s="119">
        <v>0</v>
      </c>
      <c r="V17" s="119">
        <v>0</v>
      </c>
      <c r="W17" s="119">
        <v>0</v>
      </c>
      <c r="X17" s="119">
        <v>814.11926124534398</v>
      </c>
      <c r="Y17" s="119">
        <v>0</v>
      </c>
      <c r="Z17" s="119">
        <v>0</v>
      </c>
      <c r="AA17" s="119">
        <v>1595.5708413643699</v>
      </c>
      <c r="AB17" s="119">
        <v>0</v>
      </c>
      <c r="AC17" s="119">
        <v>0</v>
      </c>
      <c r="AD17" s="119">
        <v>0</v>
      </c>
      <c r="AE17" s="119">
        <v>10.858487746163799</v>
      </c>
      <c r="AF17" s="119">
        <v>0</v>
      </c>
      <c r="AG17" s="119">
        <v>0</v>
      </c>
      <c r="AH17" s="119">
        <v>0</v>
      </c>
      <c r="AI17" s="119">
        <v>0</v>
      </c>
      <c r="AJ17" s="119">
        <v>0</v>
      </c>
      <c r="AK17" s="119">
        <v>0</v>
      </c>
      <c r="AL17" s="119">
        <v>0</v>
      </c>
      <c r="AM17" s="119">
        <v>0</v>
      </c>
      <c r="AN17" s="119">
        <v>269.209394238024</v>
      </c>
      <c r="AO17" s="119">
        <v>0</v>
      </c>
      <c r="AP17" s="119">
        <v>0</v>
      </c>
      <c r="AQ17" s="119">
        <v>0</v>
      </c>
      <c r="AR17" s="119">
        <v>0</v>
      </c>
      <c r="AS17" s="119">
        <v>0</v>
      </c>
      <c r="AT17" s="120">
        <v>0</v>
      </c>
    </row>
    <row r="18" spans="2:46" ht="12" customHeight="1" x14ac:dyDescent="0.3">
      <c r="B18" s="118" t="s">
        <v>38</v>
      </c>
      <c r="C18" s="119" t="s">
        <v>39</v>
      </c>
      <c r="D18" s="119" t="s">
        <v>25</v>
      </c>
      <c r="E18" s="119" t="s">
        <v>25</v>
      </c>
      <c r="F18" s="119" t="s">
        <v>25</v>
      </c>
      <c r="G18" s="119" t="s">
        <v>25</v>
      </c>
      <c r="H18" s="119" t="s">
        <v>74</v>
      </c>
      <c r="I18" s="119" t="s">
        <v>25</v>
      </c>
      <c r="J18" s="119">
        <v>32.21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>
        <v>0</v>
      </c>
      <c r="X18" s="119">
        <v>15.423954902031101</v>
      </c>
      <c r="Y18" s="119">
        <v>0</v>
      </c>
      <c r="Z18" s="119">
        <v>0</v>
      </c>
      <c r="AA18" s="119">
        <v>16.7856192622497</v>
      </c>
      <c r="AB18" s="119">
        <v>0</v>
      </c>
      <c r="AC18" s="119">
        <v>0</v>
      </c>
      <c r="AD18" s="119">
        <v>0</v>
      </c>
      <c r="AE18" s="119">
        <v>0</v>
      </c>
      <c r="AF18" s="119">
        <v>0</v>
      </c>
      <c r="AG18" s="119">
        <v>0</v>
      </c>
      <c r="AH18" s="119">
        <v>0</v>
      </c>
      <c r="AI18" s="119">
        <v>0</v>
      </c>
      <c r="AJ18" s="119">
        <v>0</v>
      </c>
      <c r="AK18" s="119">
        <v>0</v>
      </c>
      <c r="AL18" s="119">
        <v>0</v>
      </c>
      <c r="AM18" s="119">
        <v>0</v>
      </c>
      <c r="AN18" s="119">
        <v>0</v>
      </c>
      <c r="AO18" s="119">
        <v>0</v>
      </c>
      <c r="AP18" s="119">
        <v>0</v>
      </c>
      <c r="AQ18" s="119">
        <v>0</v>
      </c>
      <c r="AR18" s="119">
        <v>0</v>
      </c>
      <c r="AS18" s="119">
        <v>0</v>
      </c>
      <c r="AT18" s="120">
        <v>0</v>
      </c>
    </row>
    <row r="19" spans="2:46" ht="12" customHeight="1" x14ac:dyDescent="0.3">
      <c r="B19" s="118" t="s">
        <v>38</v>
      </c>
      <c r="C19" s="119" t="s">
        <v>39</v>
      </c>
      <c r="D19" s="119" t="s">
        <v>25</v>
      </c>
      <c r="E19" s="119" t="s">
        <v>25</v>
      </c>
      <c r="F19" s="119" t="s">
        <v>25</v>
      </c>
      <c r="G19" s="119" t="s">
        <v>34</v>
      </c>
      <c r="H19" s="119" t="s">
        <v>68</v>
      </c>
      <c r="I19" s="119" t="s">
        <v>25</v>
      </c>
      <c r="J19" s="119">
        <v>126.58</v>
      </c>
      <c r="K19" s="119">
        <v>269.20999999999998</v>
      </c>
      <c r="L19" s="119">
        <v>24.3277694747126</v>
      </c>
      <c r="M19" s="119">
        <v>1.4748435059753</v>
      </c>
      <c r="N19" s="119">
        <v>0</v>
      </c>
      <c r="O19" s="119">
        <v>0</v>
      </c>
      <c r="P19" s="119">
        <v>0</v>
      </c>
      <c r="Q19" s="119">
        <v>75.694597088139105</v>
      </c>
      <c r="R19" s="119">
        <v>14.226372618008201</v>
      </c>
      <c r="S19" s="119">
        <v>0</v>
      </c>
      <c r="T19" s="119">
        <v>0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19">
        <v>0</v>
      </c>
      <c r="AA19" s="119">
        <v>0</v>
      </c>
      <c r="AB19" s="119">
        <v>0</v>
      </c>
      <c r="AC19" s="119">
        <v>0</v>
      </c>
      <c r="AD19" s="119">
        <v>0</v>
      </c>
      <c r="AE19" s="119">
        <v>10.858487746163799</v>
      </c>
      <c r="AF19" s="119">
        <v>0</v>
      </c>
      <c r="AG19" s="119">
        <v>0</v>
      </c>
      <c r="AH19" s="119">
        <v>0</v>
      </c>
      <c r="AI19" s="119">
        <v>0</v>
      </c>
      <c r="AJ19" s="119">
        <v>0</v>
      </c>
      <c r="AK19" s="119">
        <v>0</v>
      </c>
      <c r="AL19" s="119">
        <v>0</v>
      </c>
      <c r="AM19" s="119">
        <v>0</v>
      </c>
      <c r="AN19" s="119">
        <v>269.209394238024</v>
      </c>
      <c r="AO19" s="119">
        <v>0</v>
      </c>
      <c r="AP19" s="119">
        <v>0</v>
      </c>
      <c r="AQ19" s="119">
        <v>0</v>
      </c>
      <c r="AR19" s="119">
        <v>0</v>
      </c>
      <c r="AS19" s="119">
        <v>0</v>
      </c>
      <c r="AT19" s="120">
        <v>0</v>
      </c>
    </row>
    <row r="20" spans="2:46" ht="12" customHeight="1" x14ac:dyDescent="0.3">
      <c r="B20" s="118" t="s">
        <v>79</v>
      </c>
      <c r="C20" s="119" t="s">
        <v>78</v>
      </c>
      <c r="D20" s="119" t="s">
        <v>25</v>
      </c>
      <c r="E20" s="119" t="s">
        <v>25</v>
      </c>
      <c r="F20" s="119" t="s">
        <v>80</v>
      </c>
      <c r="G20" s="119" t="s">
        <v>25</v>
      </c>
      <c r="H20" s="119" t="s">
        <v>74</v>
      </c>
      <c r="I20" s="119" t="s">
        <v>25</v>
      </c>
      <c r="J20" s="119">
        <v>2.5099999999999998</v>
      </c>
      <c r="K20" s="119">
        <v>0</v>
      </c>
      <c r="L20" s="119">
        <v>0</v>
      </c>
      <c r="M20" s="119">
        <v>5.2230912379888196E-3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19">
        <v>0</v>
      </c>
      <c r="AA20" s="119">
        <v>2.5054519430875999</v>
      </c>
      <c r="AB20" s="119">
        <v>0</v>
      </c>
      <c r="AC20" s="119">
        <v>0</v>
      </c>
      <c r="AD20" s="119">
        <v>0</v>
      </c>
      <c r="AE20" s="119">
        <v>0</v>
      </c>
      <c r="AF20" s="119">
        <v>0</v>
      </c>
      <c r="AG20" s="119">
        <v>0</v>
      </c>
      <c r="AH20" s="119">
        <v>0</v>
      </c>
      <c r="AI20" s="119">
        <v>0</v>
      </c>
      <c r="AJ20" s="119">
        <v>0</v>
      </c>
      <c r="AK20" s="119">
        <v>0</v>
      </c>
      <c r="AL20" s="119">
        <v>0</v>
      </c>
      <c r="AM20" s="119">
        <v>0</v>
      </c>
      <c r="AN20" s="119">
        <v>0</v>
      </c>
      <c r="AO20" s="119">
        <v>0</v>
      </c>
      <c r="AP20" s="119">
        <v>0</v>
      </c>
      <c r="AQ20" s="119">
        <v>0</v>
      </c>
      <c r="AR20" s="119">
        <v>0</v>
      </c>
      <c r="AS20" s="119">
        <v>0</v>
      </c>
      <c r="AT20" s="120">
        <v>0</v>
      </c>
    </row>
    <row r="21" spans="2:46" ht="12" customHeight="1" x14ac:dyDescent="0.3">
      <c r="B21" s="118" t="s">
        <v>79</v>
      </c>
      <c r="C21" s="119" t="s">
        <v>78</v>
      </c>
      <c r="D21" s="119" t="s">
        <v>25</v>
      </c>
      <c r="E21" s="119" t="s">
        <v>25</v>
      </c>
      <c r="F21" s="119" t="s">
        <v>81</v>
      </c>
      <c r="G21" s="119" t="s">
        <v>25</v>
      </c>
      <c r="H21" s="119" t="s">
        <v>74</v>
      </c>
      <c r="I21" s="119" t="s">
        <v>25</v>
      </c>
      <c r="J21" s="119">
        <v>13.81</v>
      </c>
      <c r="K21" s="119">
        <v>0</v>
      </c>
      <c r="L21" s="119">
        <v>0</v>
      </c>
      <c r="M21" s="119">
        <v>5.2230912379888196E-3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19">
        <v>0</v>
      </c>
      <c r="AA21" s="119">
        <v>13.806935015811799</v>
      </c>
      <c r="AB21" s="119">
        <v>0</v>
      </c>
      <c r="AC21" s="119">
        <v>0</v>
      </c>
      <c r="AD21" s="119">
        <v>0</v>
      </c>
      <c r="AE21" s="119">
        <v>0</v>
      </c>
      <c r="AF21" s="119">
        <v>0</v>
      </c>
      <c r="AG21" s="119">
        <v>0</v>
      </c>
      <c r="AH21" s="119">
        <v>0</v>
      </c>
      <c r="AI21" s="119">
        <v>0</v>
      </c>
      <c r="AJ21" s="119">
        <v>0</v>
      </c>
      <c r="AK21" s="119">
        <v>0</v>
      </c>
      <c r="AL21" s="119">
        <v>0</v>
      </c>
      <c r="AM21" s="119">
        <v>0</v>
      </c>
      <c r="AN21" s="119">
        <v>0</v>
      </c>
      <c r="AO21" s="119">
        <v>0</v>
      </c>
      <c r="AP21" s="119">
        <v>0</v>
      </c>
      <c r="AQ21" s="119">
        <v>0</v>
      </c>
      <c r="AR21" s="119">
        <v>0</v>
      </c>
      <c r="AS21" s="119">
        <v>0</v>
      </c>
      <c r="AT21" s="120">
        <v>0</v>
      </c>
    </row>
    <row r="22" spans="2:46" ht="12" customHeight="1" x14ac:dyDescent="0.3">
      <c r="B22" s="118" t="s">
        <v>22</v>
      </c>
      <c r="C22" s="119" t="s">
        <v>33</v>
      </c>
      <c r="D22" s="119" t="s">
        <v>24</v>
      </c>
      <c r="E22" s="119" t="s">
        <v>24</v>
      </c>
      <c r="F22" s="119" t="s">
        <v>25</v>
      </c>
      <c r="G22" s="119" t="s">
        <v>40</v>
      </c>
      <c r="H22" s="119" t="s">
        <v>68</v>
      </c>
      <c r="I22" s="119" t="s">
        <v>25</v>
      </c>
      <c r="J22" s="119">
        <v>1092.52</v>
      </c>
      <c r="K22" s="119">
        <v>269.20999999999998</v>
      </c>
      <c r="L22" s="119">
        <v>28.9616303270389</v>
      </c>
      <c r="M22" s="119">
        <v>1.52650159321759</v>
      </c>
      <c r="N22" s="119">
        <v>0</v>
      </c>
      <c r="O22" s="119">
        <v>0</v>
      </c>
      <c r="P22" s="119">
        <v>0</v>
      </c>
      <c r="Q22" s="119">
        <v>90.112615581118007</v>
      </c>
      <c r="R22" s="119">
        <v>14.226372618008201</v>
      </c>
      <c r="S22" s="119">
        <v>0</v>
      </c>
      <c r="T22" s="119">
        <v>0</v>
      </c>
      <c r="U22" s="119">
        <v>0</v>
      </c>
      <c r="V22" s="119">
        <v>0</v>
      </c>
      <c r="W22" s="119">
        <v>0</v>
      </c>
      <c r="X22" s="119">
        <v>355.48941767879001</v>
      </c>
      <c r="Y22" s="119">
        <v>0</v>
      </c>
      <c r="Z22" s="119">
        <v>0</v>
      </c>
      <c r="AA22" s="119">
        <v>571.323107599742</v>
      </c>
      <c r="AB22" s="119">
        <v>0</v>
      </c>
      <c r="AC22" s="119">
        <v>0</v>
      </c>
      <c r="AD22" s="119">
        <v>0</v>
      </c>
      <c r="AE22" s="119">
        <v>30.8808195068613</v>
      </c>
      <c r="AF22" s="119">
        <v>0</v>
      </c>
      <c r="AG22" s="119">
        <v>0</v>
      </c>
      <c r="AH22" s="119">
        <v>0</v>
      </c>
      <c r="AI22" s="119">
        <v>0</v>
      </c>
      <c r="AJ22" s="119">
        <v>0</v>
      </c>
      <c r="AK22" s="119">
        <v>0</v>
      </c>
      <c r="AL22" s="119">
        <v>0</v>
      </c>
      <c r="AM22" s="119">
        <v>0</v>
      </c>
      <c r="AN22" s="119">
        <v>269.209394238024</v>
      </c>
      <c r="AO22" s="119">
        <v>0</v>
      </c>
      <c r="AP22" s="119">
        <v>0</v>
      </c>
      <c r="AQ22" s="119">
        <v>0</v>
      </c>
      <c r="AR22" s="119">
        <v>0</v>
      </c>
      <c r="AS22" s="119">
        <v>0</v>
      </c>
      <c r="AT22" s="120">
        <v>0</v>
      </c>
    </row>
    <row r="23" spans="2:46" ht="12" customHeight="1" x14ac:dyDescent="0.3">
      <c r="B23" s="118" t="s">
        <v>22</v>
      </c>
      <c r="C23" s="119" t="s">
        <v>33</v>
      </c>
      <c r="D23" s="119" t="s">
        <v>24</v>
      </c>
      <c r="E23" s="119" t="s">
        <v>24</v>
      </c>
      <c r="F23" s="119" t="s">
        <v>25</v>
      </c>
      <c r="G23" s="119" t="s">
        <v>35</v>
      </c>
      <c r="H23" s="119" t="s">
        <v>68</v>
      </c>
      <c r="I23" s="119" t="s">
        <v>25</v>
      </c>
      <c r="J23" s="119">
        <v>721.8</v>
      </c>
      <c r="K23" s="119">
        <v>269.20999999999998</v>
      </c>
      <c r="L23" s="119">
        <v>28.9616303270389</v>
      </c>
      <c r="M23" s="119">
        <v>1.52650159321759</v>
      </c>
      <c r="N23" s="119">
        <v>0</v>
      </c>
      <c r="O23" s="119">
        <v>0</v>
      </c>
      <c r="P23" s="119">
        <v>0</v>
      </c>
      <c r="Q23" s="119">
        <v>90.112615581118007</v>
      </c>
      <c r="R23" s="119">
        <v>14.226372618008201</v>
      </c>
      <c r="S23" s="119">
        <v>0</v>
      </c>
      <c r="T23" s="119">
        <v>0</v>
      </c>
      <c r="U23" s="119">
        <v>0</v>
      </c>
      <c r="V23" s="119">
        <v>0</v>
      </c>
      <c r="W23" s="119">
        <v>0</v>
      </c>
      <c r="X23" s="119">
        <v>213.294981156701</v>
      </c>
      <c r="Y23" s="119">
        <v>0</v>
      </c>
      <c r="Z23" s="119">
        <v>0</v>
      </c>
      <c r="AA23" s="119">
        <v>342.79389589627402</v>
      </c>
      <c r="AB23" s="119">
        <v>0</v>
      </c>
      <c r="AC23" s="119">
        <v>0</v>
      </c>
      <c r="AD23" s="119">
        <v>0</v>
      </c>
      <c r="AE23" s="119">
        <v>30.8808195068613</v>
      </c>
      <c r="AF23" s="119">
        <v>0</v>
      </c>
      <c r="AG23" s="119">
        <v>0</v>
      </c>
      <c r="AH23" s="119">
        <v>0</v>
      </c>
      <c r="AI23" s="119">
        <v>0</v>
      </c>
      <c r="AJ23" s="119">
        <v>0</v>
      </c>
      <c r="AK23" s="119">
        <v>0</v>
      </c>
      <c r="AL23" s="119">
        <v>0</v>
      </c>
      <c r="AM23" s="119">
        <v>0</v>
      </c>
      <c r="AN23" s="119">
        <v>269.209394238024</v>
      </c>
      <c r="AO23" s="119">
        <v>0</v>
      </c>
      <c r="AP23" s="119">
        <v>0</v>
      </c>
      <c r="AQ23" s="119">
        <v>0</v>
      </c>
      <c r="AR23" s="119">
        <v>0</v>
      </c>
      <c r="AS23" s="119">
        <v>0</v>
      </c>
      <c r="AT23" s="120">
        <v>0</v>
      </c>
    </row>
    <row r="24" spans="2:46" ht="12" customHeight="1" x14ac:dyDescent="0.3">
      <c r="B24" s="118" t="s">
        <v>22</v>
      </c>
      <c r="C24" s="119" t="s">
        <v>33</v>
      </c>
      <c r="D24" s="119" t="s">
        <v>24</v>
      </c>
      <c r="E24" s="119" t="s">
        <v>24</v>
      </c>
      <c r="F24" s="119" t="s">
        <v>25</v>
      </c>
      <c r="G24" s="119" t="s">
        <v>34</v>
      </c>
      <c r="H24" s="119" t="s">
        <v>68</v>
      </c>
      <c r="I24" s="119" t="s">
        <v>25</v>
      </c>
      <c r="J24" s="119">
        <v>351.07</v>
      </c>
      <c r="K24" s="119">
        <v>269.20999999999998</v>
      </c>
      <c r="L24" s="119">
        <v>28.9616303270389</v>
      </c>
      <c r="M24" s="119">
        <v>1.52650159321759</v>
      </c>
      <c r="N24" s="119">
        <v>0</v>
      </c>
      <c r="O24" s="119">
        <v>0</v>
      </c>
      <c r="P24" s="119">
        <v>0</v>
      </c>
      <c r="Q24" s="119">
        <v>90.112615581118007</v>
      </c>
      <c r="R24" s="119">
        <v>14.226372618008201</v>
      </c>
      <c r="S24" s="119">
        <v>0</v>
      </c>
      <c r="T24" s="119">
        <v>0</v>
      </c>
      <c r="U24" s="119">
        <v>0</v>
      </c>
      <c r="V24" s="119">
        <v>0</v>
      </c>
      <c r="W24" s="119">
        <v>0</v>
      </c>
      <c r="X24" s="119">
        <v>71.100544634612405</v>
      </c>
      <c r="Y24" s="119">
        <v>0</v>
      </c>
      <c r="Z24" s="119">
        <v>0</v>
      </c>
      <c r="AA24" s="119">
        <v>114.264579738043</v>
      </c>
      <c r="AB24" s="119">
        <v>0</v>
      </c>
      <c r="AC24" s="119">
        <v>0</v>
      </c>
      <c r="AD24" s="119">
        <v>0</v>
      </c>
      <c r="AE24" s="119">
        <v>30.8808195068613</v>
      </c>
      <c r="AF24" s="119">
        <v>0</v>
      </c>
      <c r="AG24" s="119">
        <v>0</v>
      </c>
      <c r="AH24" s="119">
        <v>0</v>
      </c>
      <c r="AI24" s="119">
        <v>0</v>
      </c>
      <c r="AJ24" s="119">
        <v>0</v>
      </c>
      <c r="AK24" s="119">
        <v>0</v>
      </c>
      <c r="AL24" s="119">
        <v>0</v>
      </c>
      <c r="AM24" s="119">
        <v>0</v>
      </c>
      <c r="AN24" s="119">
        <v>269.209394238024</v>
      </c>
      <c r="AO24" s="119">
        <v>0</v>
      </c>
      <c r="AP24" s="119">
        <v>0</v>
      </c>
      <c r="AQ24" s="119">
        <v>0</v>
      </c>
      <c r="AR24" s="119">
        <v>0</v>
      </c>
      <c r="AS24" s="119">
        <v>0</v>
      </c>
      <c r="AT24" s="120">
        <v>0</v>
      </c>
    </row>
    <row r="25" spans="2:46" ht="12" customHeight="1" x14ac:dyDescent="0.3">
      <c r="B25" s="118" t="s">
        <v>22</v>
      </c>
      <c r="C25" s="119" t="s">
        <v>23</v>
      </c>
      <c r="D25" s="119" t="s">
        <v>24</v>
      </c>
      <c r="E25" s="119" t="s">
        <v>1075</v>
      </c>
      <c r="F25" s="119" t="s">
        <v>25</v>
      </c>
      <c r="G25" s="119" t="s">
        <v>25</v>
      </c>
      <c r="H25" s="119" t="s">
        <v>68</v>
      </c>
      <c r="I25" s="119" t="s">
        <v>25</v>
      </c>
      <c r="J25" s="119">
        <v>351.99</v>
      </c>
      <c r="K25" s="119">
        <v>269.20999999999998</v>
      </c>
      <c r="L25" s="119">
        <v>0</v>
      </c>
      <c r="M25" s="119">
        <v>1.52650159321759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>
        <v>0</v>
      </c>
      <c r="X25" s="119">
        <v>122.576363883284</v>
      </c>
      <c r="Y25" s="119">
        <v>0</v>
      </c>
      <c r="Z25" s="119">
        <v>0</v>
      </c>
      <c r="AA25" s="119">
        <v>197.00795012840001</v>
      </c>
      <c r="AB25" s="119">
        <v>0</v>
      </c>
      <c r="AC25" s="119">
        <v>0</v>
      </c>
      <c r="AD25" s="119">
        <v>0</v>
      </c>
      <c r="AE25" s="119">
        <v>30.8808195068613</v>
      </c>
      <c r="AF25" s="119">
        <v>0</v>
      </c>
      <c r="AG25" s="119">
        <v>0</v>
      </c>
      <c r="AH25" s="119">
        <v>0</v>
      </c>
      <c r="AI25" s="119">
        <v>0</v>
      </c>
      <c r="AJ25" s="119">
        <v>0</v>
      </c>
      <c r="AK25" s="119">
        <v>0</v>
      </c>
      <c r="AL25" s="119">
        <v>0</v>
      </c>
      <c r="AM25" s="119">
        <v>0</v>
      </c>
      <c r="AN25" s="119">
        <v>269.209394238024</v>
      </c>
      <c r="AO25" s="119">
        <v>0</v>
      </c>
      <c r="AP25" s="119">
        <v>0</v>
      </c>
      <c r="AQ25" s="119">
        <v>0</v>
      </c>
      <c r="AR25" s="119">
        <v>0</v>
      </c>
      <c r="AS25" s="119">
        <v>0</v>
      </c>
      <c r="AT25" s="120">
        <v>0</v>
      </c>
    </row>
    <row r="26" spans="2:46" ht="12" customHeight="1" x14ac:dyDescent="0.3">
      <c r="B26" s="118" t="s">
        <v>22</v>
      </c>
      <c r="C26" s="119" t="s">
        <v>23</v>
      </c>
      <c r="D26" s="119" t="s">
        <v>24</v>
      </c>
      <c r="E26" s="119" t="s">
        <v>24</v>
      </c>
      <c r="F26" s="119" t="s">
        <v>25</v>
      </c>
      <c r="G26" s="119" t="s">
        <v>25</v>
      </c>
      <c r="H26" s="119" t="s">
        <v>68</v>
      </c>
      <c r="I26" s="119" t="s">
        <v>25</v>
      </c>
      <c r="J26" s="119">
        <v>485.29</v>
      </c>
      <c r="K26" s="119">
        <v>269.20999999999998</v>
      </c>
      <c r="L26" s="119">
        <v>28.9616303270389</v>
      </c>
      <c r="M26" s="119">
        <v>1.52650159321759</v>
      </c>
      <c r="N26" s="119">
        <v>0</v>
      </c>
      <c r="O26" s="119">
        <v>0</v>
      </c>
      <c r="P26" s="119">
        <v>0</v>
      </c>
      <c r="Q26" s="119">
        <v>90.112615581118007</v>
      </c>
      <c r="R26" s="119">
        <v>14.226372618008201</v>
      </c>
      <c r="S26" s="119">
        <v>0</v>
      </c>
      <c r="T26" s="119">
        <v>0</v>
      </c>
      <c r="U26" s="119">
        <v>0</v>
      </c>
      <c r="V26" s="119">
        <v>0</v>
      </c>
      <c r="W26" s="119">
        <v>0</v>
      </c>
      <c r="X26" s="119">
        <v>122.576363883284</v>
      </c>
      <c r="Y26" s="119">
        <v>0</v>
      </c>
      <c r="Z26" s="119">
        <v>0</v>
      </c>
      <c r="AA26" s="119">
        <v>197.00795012840001</v>
      </c>
      <c r="AB26" s="119">
        <v>0</v>
      </c>
      <c r="AC26" s="119">
        <v>0</v>
      </c>
      <c r="AD26" s="119">
        <v>0</v>
      </c>
      <c r="AE26" s="119">
        <v>30.8808195068613</v>
      </c>
      <c r="AF26" s="119">
        <v>0</v>
      </c>
      <c r="AG26" s="119">
        <v>0</v>
      </c>
      <c r="AH26" s="119">
        <v>0</v>
      </c>
      <c r="AI26" s="119">
        <v>0</v>
      </c>
      <c r="AJ26" s="119">
        <v>0</v>
      </c>
      <c r="AK26" s="119">
        <v>0</v>
      </c>
      <c r="AL26" s="119">
        <v>0</v>
      </c>
      <c r="AM26" s="119">
        <v>0</v>
      </c>
      <c r="AN26" s="119">
        <v>269.209394238024</v>
      </c>
      <c r="AO26" s="119">
        <v>0</v>
      </c>
      <c r="AP26" s="119">
        <v>0</v>
      </c>
      <c r="AQ26" s="119">
        <v>0</v>
      </c>
      <c r="AR26" s="119">
        <v>0</v>
      </c>
      <c r="AS26" s="119">
        <v>0</v>
      </c>
      <c r="AT26" s="120">
        <v>0</v>
      </c>
    </row>
    <row r="27" spans="2:46" ht="12" customHeight="1" x14ac:dyDescent="0.3">
      <c r="B27" s="118" t="s">
        <v>22</v>
      </c>
      <c r="C27" s="119" t="s">
        <v>84</v>
      </c>
      <c r="D27" s="119" t="s">
        <v>24</v>
      </c>
      <c r="E27" s="119" t="s">
        <v>1075</v>
      </c>
      <c r="F27" s="119" t="s">
        <v>25</v>
      </c>
      <c r="G27" s="119" t="s">
        <v>25</v>
      </c>
      <c r="H27" s="119" t="s">
        <v>68</v>
      </c>
      <c r="I27" s="119" t="s">
        <v>25</v>
      </c>
      <c r="J27" s="119">
        <v>351.99</v>
      </c>
      <c r="K27" s="119">
        <v>269.20999999999998</v>
      </c>
      <c r="L27" s="119">
        <v>0</v>
      </c>
      <c r="M27" s="119">
        <v>1.52650159321759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>
        <v>0</v>
      </c>
      <c r="X27" s="119">
        <v>122.576363883284</v>
      </c>
      <c r="Y27" s="119">
        <v>0</v>
      </c>
      <c r="Z27" s="119">
        <v>0</v>
      </c>
      <c r="AA27" s="119">
        <v>197.00795012840001</v>
      </c>
      <c r="AB27" s="119">
        <v>0</v>
      </c>
      <c r="AC27" s="119">
        <v>0</v>
      </c>
      <c r="AD27" s="119">
        <v>0</v>
      </c>
      <c r="AE27" s="119">
        <v>30.8808195068613</v>
      </c>
      <c r="AF27" s="119">
        <v>0</v>
      </c>
      <c r="AG27" s="119">
        <v>0</v>
      </c>
      <c r="AH27" s="119">
        <v>0</v>
      </c>
      <c r="AI27" s="119">
        <v>0</v>
      </c>
      <c r="AJ27" s="119">
        <v>0</v>
      </c>
      <c r="AK27" s="119">
        <v>0</v>
      </c>
      <c r="AL27" s="119">
        <v>0</v>
      </c>
      <c r="AM27" s="119">
        <v>0</v>
      </c>
      <c r="AN27" s="119">
        <v>269.209394238024</v>
      </c>
      <c r="AO27" s="119">
        <v>0</v>
      </c>
      <c r="AP27" s="119">
        <v>0</v>
      </c>
      <c r="AQ27" s="119">
        <v>0</v>
      </c>
      <c r="AR27" s="119">
        <v>0</v>
      </c>
      <c r="AS27" s="119">
        <v>0</v>
      </c>
      <c r="AT27" s="120">
        <v>0</v>
      </c>
    </row>
    <row r="28" spans="2:46" ht="12" customHeight="1" x14ac:dyDescent="0.3">
      <c r="B28" s="118" t="s">
        <v>22</v>
      </c>
      <c r="C28" s="119" t="s">
        <v>84</v>
      </c>
      <c r="D28" s="119" t="s">
        <v>24</v>
      </c>
      <c r="E28" s="119" t="s">
        <v>24</v>
      </c>
      <c r="F28" s="119" t="s">
        <v>25</v>
      </c>
      <c r="G28" s="119" t="s">
        <v>25</v>
      </c>
      <c r="H28" s="119" t="s">
        <v>68</v>
      </c>
      <c r="I28" s="119" t="s">
        <v>25</v>
      </c>
      <c r="J28" s="119">
        <v>485.29</v>
      </c>
      <c r="K28" s="119">
        <v>269.20999999999998</v>
      </c>
      <c r="L28" s="119">
        <v>28.9616303270389</v>
      </c>
      <c r="M28" s="119">
        <v>1.52650159321759</v>
      </c>
      <c r="N28" s="119">
        <v>0</v>
      </c>
      <c r="O28" s="119">
        <v>0</v>
      </c>
      <c r="P28" s="119">
        <v>0</v>
      </c>
      <c r="Q28" s="119">
        <v>90.112615581118007</v>
      </c>
      <c r="R28" s="119">
        <v>14.226372618008201</v>
      </c>
      <c r="S28" s="119">
        <v>0</v>
      </c>
      <c r="T28" s="119">
        <v>0</v>
      </c>
      <c r="U28" s="119">
        <v>0</v>
      </c>
      <c r="V28" s="119">
        <v>0</v>
      </c>
      <c r="W28" s="119">
        <v>0</v>
      </c>
      <c r="X28" s="119">
        <v>122.576363883284</v>
      </c>
      <c r="Y28" s="119">
        <v>0</v>
      </c>
      <c r="Z28" s="119">
        <v>0</v>
      </c>
      <c r="AA28" s="119">
        <v>197.00795012840001</v>
      </c>
      <c r="AB28" s="119">
        <v>0</v>
      </c>
      <c r="AC28" s="119">
        <v>0</v>
      </c>
      <c r="AD28" s="119">
        <v>0</v>
      </c>
      <c r="AE28" s="119">
        <v>30.8808195068613</v>
      </c>
      <c r="AF28" s="119">
        <v>0</v>
      </c>
      <c r="AG28" s="119">
        <v>0</v>
      </c>
      <c r="AH28" s="119">
        <v>0</v>
      </c>
      <c r="AI28" s="119">
        <v>0</v>
      </c>
      <c r="AJ28" s="119">
        <v>0</v>
      </c>
      <c r="AK28" s="119">
        <v>0</v>
      </c>
      <c r="AL28" s="119">
        <v>0</v>
      </c>
      <c r="AM28" s="119">
        <v>0</v>
      </c>
      <c r="AN28" s="119">
        <v>269.209394238024</v>
      </c>
      <c r="AO28" s="119">
        <v>0</v>
      </c>
      <c r="AP28" s="119">
        <v>0</v>
      </c>
      <c r="AQ28" s="119">
        <v>0</v>
      </c>
      <c r="AR28" s="119">
        <v>0</v>
      </c>
      <c r="AS28" s="119">
        <v>0</v>
      </c>
      <c r="AT28" s="120">
        <v>0</v>
      </c>
    </row>
    <row r="29" spans="2:46" ht="12" customHeight="1" x14ac:dyDescent="0.3">
      <c r="B29" s="118" t="s">
        <v>41</v>
      </c>
      <c r="C29" s="119" t="s">
        <v>33</v>
      </c>
      <c r="D29" s="119" t="s">
        <v>42</v>
      </c>
      <c r="E29" s="119" t="s">
        <v>85</v>
      </c>
      <c r="F29" s="119" t="s">
        <v>25</v>
      </c>
      <c r="G29" s="119" t="s">
        <v>40</v>
      </c>
      <c r="H29" s="119" t="s">
        <v>68</v>
      </c>
      <c r="I29" s="119" t="s">
        <v>25</v>
      </c>
      <c r="J29" s="119">
        <v>1087.05</v>
      </c>
      <c r="K29" s="119">
        <v>253.06</v>
      </c>
      <c r="L29" s="119">
        <v>27.2239325074165</v>
      </c>
      <c r="M29" s="119">
        <v>1.4349114976245301</v>
      </c>
      <c r="N29" s="119">
        <v>0</v>
      </c>
      <c r="O29" s="119">
        <v>0</v>
      </c>
      <c r="P29" s="119">
        <v>0</v>
      </c>
      <c r="Q29" s="119">
        <v>84.705858646250903</v>
      </c>
      <c r="R29" s="119">
        <v>13.372790260927699</v>
      </c>
      <c r="S29" s="119">
        <v>0</v>
      </c>
      <c r="T29" s="119">
        <v>0</v>
      </c>
      <c r="U29" s="119">
        <v>0</v>
      </c>
      <c r="V29" s="119">
        <v>0</v>
      </c>
      <c r="W29" s="119">
        <v>0</v>
      </c>
      <c r="X29" s="119">
        <v>357.20190759519699</v>
      </c>
      <c r="Y29" s="119">
        <v>0</v>
      </c>
      <c r="Z29" s="119">
        <v>0</v>
      </c>
      <c r="AA29" s="119">
        <v>574.081166674158</v>
      </c>
      <c r="AB29" s="119">
        <v>0</v>
      </c>
      <c r="AC29" s="119">
        <v>0</v>
      </c>
      <c r="AD29" s="119">
        <v>0</v>
      </c>
      <c r="AE29" s="119">
        <v>29.027970336449702</v>
      </c>
      <c r="AF29" s="119">
        <v>0</v>
      </c>
      <c r="AG29" s="119">
        <v>0</v>
      </c>
      <c r="AH29" s="119">
        <v>0</v>
      </c>
      <c r="AI29" s="119">
        <v>0</v>
      </c>
      <c r="AJ29" s="119">
        <v>0</v>
      </c>
      <c r="AK29" s="119">
        <v>0</v>
      </c>
      <c r="AL29" s="119">
        <v>0</v>
      </c>
      <c r="AM29" s="119">
        <v>0</v>
      </c>
      <c r="AN29" s="119">
        <v>253.056830583742</v>
      </c>
      <c r="AO29" s="119">
        <v>0</v>
      </c>
      <c r="AP29" s="119">
        <v>0</v>
      </c>
      <c r="AQ29" s="119">
        <v>0</v>
      </c>
      <c r="AR29" s="119">
        <v>0</v>
      </c>
      <c r="AS29" s="119">
        <v>0</v>
      </c>
      <c r="AT29" s="120">
        <v>0</v>
      </c>
    </row>
    <row r="30" spans="2:46" ht="12" customHeight="1" x14ac:dyDescent="0.3">
      <c r="B30" s="118" t="s">
        <v>41</v>
      </c>
      <c r="C30" s="119" t="s">
        <v>33</v>
      </c>
      <c r="D30" s="119" t="s">
        <v>42</v>
      </c>
      <c r="E30" s="119" t="s">
        <v>85</v>
      </c>
      <c r="F30" s="119" t="s">
        <v>25</v>
      </c>
      <c r="G30" s="119" t="s">
        <v>35</v>
      </c>
      <c r="H30" s="119" t="s">
        <v>68</v>
      </c>
      <c r="I30" s="119" t="s">
        <v>25</v>
      </c>
      <c r="J30" s="119">
        <v>714.54</v>
      </c>
      <c r="K30" s="119">
        <v>253.06</v>
      </c>
      <c r="L30" s="119">
        <v>27.2239325074165</v>
      </c>
      <c r="M30" s="119">
        <v>1.4349114976245301</v>
      </c>
      <c r="N30" s="119">
        <v>0</v>
      </c>
      <c r="O30" s="119">
        <v>0</v>
      </c>
      <c r="P30" s="119">
        <v>0</v>
      </c>
      <c r="Q30" s="119">
        <v>84.705858646250903</v>
      </c>
      <c r="R30" s="119">
        <v>13.372790260927699</v>
      </c>
      <c r="S30" s="119">
        <v>0</v>
      </c>
      <c r="T30" s="119">
        <v>0</v>
      </c>
      <c r="U30" s="119">
        <v>0</v>
      </c>
      <c r="V30" s="119">
        <v>0</v>
      </c>
      <c r="W30" s="119">
        <v>0</v>
      </c>
      <c r="X30" s="119">
        <v>214.32489670650301</v>
      </c>
      <c r="Y30" s="119">
        <v>0</v>
      </c>
      <c r="Z30" s="119">
        <v>0</v>
      </c>
      <c r="AA30" s="119">
        <v>344.44873927948601</v>
      </c>
      <c r="AB30" s="119">
        <v>0</v>
      </c>
      <c r="AC30" s="119">
        <v>0</v>
      </c>
      <c r="AD30" s="119">
        <v>0</v>
      </c>
      <c r="AE30" s="119">
        <v>29.027970336449702</v>
      </c>
      <c r="AF30" s="119">
        <v>0</v>
      </c>
      <c r="AG30" s="119">
        <v>0</v>
      </c>
      <c r="AH30" s="119">
        <v>0</v>
      </c>
      <c r="AI30" s="119">
        <v>0</v>
      </c>
      <c r="AJ30" s="119">
        <v>0</v>
      </c>
      <c r="AK30" s="119">
        <v>0</v>
      </c>
      <c r="AL30" s="119">
        <v>0</v>
      </c>
      <c r="AM30" s="119">
        <v>0</v>
      </c>
      <c r="AN30" s="119">
        <v>253.056830583742</v>
      </c>
      <c r="AO30" s="119">
        <v>0</v>
      </c>
      <c r="AP30" s="119">
        <v>0</v>
      </c>
      <c r="AQ30" s="119">
        <v>0</v>
      </c>
      <c r="AR30" s="119">
        <v>0</v>
      </c>
      <c r="AS30" s="119">
        <v>0</v>
      </c>
      <c r="AT30" s="120">
        <v>0</v>
      </c>
    </row>
    <row r="31" spans="2:46" ht="12" customHeight="1" x14ac:dyDescent="0.3">
      <c r="B31" s="118" t="s">
        <v>41</v>
      </c>
      <c r="C31" s="119" t="s">
        <v>33</v>
      </c>
      <c r="D31" s="119" t="s">
        <v>42</v>
      </c>
      <c r="E31" s="119" t="s">
        <v>85</v>
      </c>
      <c r="F31" s="119" t="s">
        <v>25</v>
      </c>
      <c r="G31" s="119" t="s">
        <v>34</v>
      </c>
      <c r="H31" s="119" t="s">
        <v>68</v>
      </c>
      <c r="I31" s="119" t="s">
        <v>25</v>
      </c>
      <c r="J31" s="119">
        <v>342.02</v>
      </c>
      <c r="K31" s="119">
        <v>253.06</v>
      </c>
      <c r="L31" s="119">
        <v>27.2239325074165</v>
      </c>
      <c r="M31" s="119">
        <v>1.4349114976245301</v>
      </c>
      <c r="N31" s="119">
        <v>0</v>
      </c>
      <c r="O31" s="119">
        <v>0</v>
      </c>
      <c r="P31" s="119">
        <v>0</v>
      </c>
      <c r="Q31" s="119">
        <v>84.705858646250903</v>
      </c>
      <c r="R31" s="119">
        <v>13.372790260927699</v>
      </c>
      <c r="S31" s="119">
        <v>0</v>
      </c>
      <c r="T31" s="119">
        <v>0</v>
      </c>
      <c r="U31" s="119">
        <v>0</v>
      </c>
      <c r="V31" s="119">
        <v>0</v>
      </c>
      <c r="W31" s="119">
        <v>0</v>
      </c>
      <c r="X31" s="119">
        <v>71.441632235501004</v>
      </c>
      <c r="Y31" s="119">
        <v>0</v>
      </c>
      <c r="Z31" s="119">
        <v>0</v>
      </c>
      <c r="AA31" s="119">
        <v>114.816213697336</v>
      </c>
      <c r="AB31" s="119">
        <v>0</v>
      </c>
      <c r="AC31" s="119">
        <v>0</v>
      </c>
      <c r="AD31" s="119">
        <v>0</v>
      </c>
      <c r="AE31" s="119">
        <v>29.027970336449702</v>
      </c>
      <c r="AF31" s="119">
        <v>0</v>
      </c>
      <c r="AG31" s="119">
        <v>0</v>
      </c>
      <c r="AH31" s="119">
        <v>0</v>
      </c>
      <c r="AI31" s="119">
        <v>0</v>
      </c>
      <c r="AJ31" s="119">
        <v>0</v>
      </c>
      <c r="AK31" s="119">
        <v>0</v>
      </c>
      <c r="AL31" s="119">
        <v>0</v>
      </c>
      <c r="AM31" s="119">
        <v>0</v>
      </c>
      <c r="AN31" s="119">
        <v>253.056830583742</v>
      </c>
      <c r="AO31" s="119">
        <v>0</v>
      </c>
      <c r="AP31" s="119">
        <v>0</v>
      </c>
      <c r="AQ31" s="119">
        <v>0</v>
      </c>
      <c r="AR31" s="119">
        <v>0</v>
      </c>
      <c r="AS31" s="119">
        <v>0</v>
      </c>
      <c r="AT31" s="120">
        <v>0</v>
      </c>
    </row>
    <row r="32" spans="2:46" ht="12" customHeight="1" x14ac:dyDescent="0.3">
      <c r="B32" s="118" t="s">
        <v>41</v>
      </c>
      <c r="C32" s="119" t="s">
        <v>33</v>
      </c>
      <c r="D32" s="119" t="s">
        <v>42</v>
      </c>
      <c r="E32" s="119" t="s">
        <v>25</v>
      </c>
      <c r="F32" s="119" t="s">
        <v>25</v>
      </c>
      <c r="G32" s="119" t="s">
        <v>40</v>
      </c>
      <c r="H32" s="119" t="s">
        <v>68</v>
      </c>
      <c r="I32" s="119" t="s">
        <v>25</v>
      </c>
      <c r="J32" s="119">
        <v>1087.05</v>
      </c>
      <c r="K32" s="119">
        <v>253.06</v>
      </c>
      <c r="L32" s="119">
        <v>27.2239325074165</v>
      </c>
      <c r="M32" s="119">
        <v>1.4349114976245301</v>
      </c>
      <c r="N32" s="119">
        <v>0</v>
      </c>
      <c r="O32" s="119">
        <v>0</v>
      </c>
      <c r="P32" s="119">
        <v>0</v>
      </c>
      <c r="Q32" s="119">
        <v>84.705858646250903</v>
      </c>
      <c r="R32" s="119">
        <v>13.372790260927699</v>
      </c>
      <c r="S32" s="119">
        <v>0</v>
      </c>
      <c r="T32" s="119">
        <v>0</v>
      </c>
      <c r="U32" s="119">
        <v>0</v>
      </c>
      <c r="V32" s="119">
        <v>0</v>
      </c>
      <c r="W32" s="119">
        <v>0</v>
      </c>
      <c r="X32" s="119">
        <v>357.20190759519699</v>
      </c>
      <c r="Y32" s="119">
        <v>0</v>
      </c>
      <c r="Z32" s="119">
        <v>0</v>
      </c>
      <c r="AA32" s="119">
        <v>574.081166674158</v>
      </c>
      <c r="AB32" s="119">
        <v>0</v>
      </c>
      <c r="AC32" s="119">
        <v>0</v>
      </c>
      <c r="AD32" s="119">
        <v>0</v>
      </c>
      <c r="AE32" s="119">
        <v>29.027970336449702</v>
      </c>
      <c r="AF32" s="119">
        <v>0</v>
      </c>
      <c r="AG32" s="119">
        <v>0</v>
      </c>
      <c r="AH32" s="119">
        <v>0</v>
      </c>
      <c r="AI32" s="119">
        <v>0</v>
      </c>
      <c r="AJ32" s="119">
        <v>0</v>
      </c>
      <c r="AK32" s="119">
        <v>0</v>
      </c>
      <c r="AL32" s="119">
        <v>0</v>
      </c>
      <c r="AM32" s="119">
        <v>0</v>
      </c>
      <c r="AN32" s="119">
        <v>253.056830583742</v>
      </c>
      <c r="AO32" s="119">
        <v>0</v>
      </c>
      <c r="AP32" s="119">
        <v>0</v>
      </c>
      <c r="AQ32" s="119">
        <v>0</v>
      </c>
      <c r="AR32" s="119">
        <v>0</v>
      </c>
      <c r="AS32" s="119">
        <v>0</v>
      </c>
      <c r="AT32" s="120">
        <v>0</v>
      </c>
    </row>
    <row r="33" spans="2:46" ht="12" customHeight="1" x14ac:dyDescent="0.3">
      <c r="B33" s="118" t="s">
        <v>41</v>
      </c>
      <c r="C33" s="119" t="s">
        <v>33</v>
      </c>
      <c r="D33" s="119" t="s">
        <v>42</v>
      </c>
      <c r="E33" s="119" t="s">
        <v>25</v>
      </c>
      <c r="F33" s="119" t="s">
        <v>25</v>
      </c>
      <c r="G33" s="119" t="s">
        <v>35</v>
      </c>
      <c r="H33" s="119" t="s">
        <v>68</v>
      </c>
      <c r="I33" s="119" t="s">
        <v>25</v>
      </c>
      <c r="J33" s="119">
        <v>714.54</v>
      </c>
      <c r="K33" s="119">
        <v>253.06</v>
      </c>
      <c r="L33" s="119">
        <v>27.2239325074165</v>
      </c>
      <c r="M33" s="119">
        <v>1.4349114976245301</v>
      </c>
      <c r="N33" s="119">
        <v>0</v>
      </c>
      <c r="O33" s="119">
        <v>0</v>
      </c>
      <c r="P33" s="119">
        <v>0</v>
      </c>
      <c r="Q33" s="119">
        <v>84.705858646250903</v>
      </c>
      <c r="R33" s="119">
        <v>13.372790260927699</v>
      </c>
      <c r="S33" s="119">
        <v>0</v>
      </c>
      <c r="T33" s="119">
        <v>0</v>
      </c>
      <c r="U33" s="119">
        <v>0</v>
      </c>
      <c r="V33" s="119">
        <v>0</v>
      </c>
      <c r="W33" s="119">
        <v>0</v>
      </c>
      <c r="X33" s="119">
        <v>214.32489670650301</v>
      </c>
      <c r="Y33" s="119">
        <v>0</v>
      </c>
      <c r="Z33" s="119">
        <v>0</v>
      </c>
      <c r="AA33" s="119">
        <v>344.44873927948601</v>
      </c>
      <c r="AB33" s="119">
        <v>0</v>
      </c>
      <c r="AC33" s="119">
        <v>0</v>
      </c>
      <c r="AD33" s="119">
        <v>0</v>
      </c>
      <c r="AE33" s="119">
        <v>29.027970336449702</v>
      </c>
      <c r="AF33" s="119">
        <v>0</v>
      </c>
      <c r="AG33" s="119">
        <v>0</v>
      </c>
      <c r="AH33" s="119">
        <v>0</v>
      </c>
      <c r="AI33" s="119">
        <v>0</v>
      </c>
      <c r="AJ33" s="119">
        <v>0</v>
      </c>
      <c r="AK33" s="119">
        <v>0</v>
      </c>
      <c r="AL33" s="119">
        <v>0</v>
      </c>
      <c r="AM33" s="119">
        <v>0</v>
      </c>
      <c r="AN33" s="119">
        <v>253.056830583742</v>
      </c>
      <c r="AO33" s="119">
        <v>0</v>
      </c>
      <c r="AP33" s="119">
        <v>0</v>
      </c>
      <c r="AQ33" s="119">
        <v>0</v>
      </c>
      <c r="AR33" s="119">
        <v>0</v>
      </c>
      <c r="AS33" s="119">
        <v>0</v>
      </c>
      <c r="AT33" s="120">
        <v>0</v>
      </c>
    </row>
    <row r="34" spans="2:46" ht="12" customHeight="1" x14ac:dyDescent="0.3">
      <c r="B34" s="118" t="s">
        <v>41</v>
      </c>
      <c r="C34" s="119" t="s">
        <v>33</v>
      </c>
      <c r="D34" s="119" t="s">
        <v>42</v>
      </c>
      <c r="E34" s="119" t="s">
        <v>25</v>
      </c>
      <c r="F34" s="119" t="s">
        <v>25</v>
      </c>
      <c r="G34" s="119" t="s">
        <v>34</v>
      </c>
      <c r="H34" s="119" t="s">
        <v>68</v>
      </c>
      <c r="I34" s="119" t="s">
        <v>25</v>
      </c>
      <c r="J34" s="119">
        <v>342.02</v>
      </c>
      <c r="K34" s="119">
        <v>253.06</v>
      </c>
      <c r="L34" s="119">
        <v>27.2239325074165</v>
      </c>
      <c r="M34" s="119">
        <v>1.4349114976245301</v>
      </c>
      <c r="N34" s="119">
        <v>0</v>
      </c>
      <c r="O34" s="119">
        <v>0</v>
      </c>
      <c r="P34" s="119">
        <v>0</v>
      </c>
      <c r="Q34" s="119">
        <v>84.705858646250903</v>
      </c>
      <c r="R34" s="119">
        <v>13.372790260927699</v>
      </c>
      <c r="S34" s="119">
        <v>0</v>
      </c>
      <c r="T34" s="119">
        <v>0</v>
      </c>
      <c r="U34" s="119">
        <v>0</v>
      </c>
      <c r="V34" s="119">
        <v>0</v>
      </c>
      <c r="W34" s="119">
        <v>0</v>
      </c>
      <c r="X34" s="119">
        <v>71.441632235501004</v>
      </c>
      <c r="Y34" s="119">
        <v>0</v>
      </c>
      <c r="Z34" s="119">
        <v>0</v>
      </c>
      <c r="AA34" s="119">
        <v>114.816213697336</v>
      </c>
      <c r="AB34" s="119">
        <v>0</v>
      </c>
      <c r="AC34" s="119">
        <v>0</v>
      </c>
      <c r="AD34" s="119">
        <v>0</v>
      </c>
      <c r="AE34" s="119">
        <v>29.027970336449702</v>
      </c>
      <c r="AF34" s="119">
        <v>0</v>
      </c>
      <c r="AG34" s="119">
        <v>0</v>
      </c>
      <c r="AH34" s="119">
        <v>0</v>
      </c>
      <c r="AI34" s="119">
        <v>0</v>
      </c>
      <c r="AJ34" s="119">
        <v>0</v>
      </c>
      <c r="AK34" s="119">
        <v>0</v>
      </c>
      <c r="AL34" s="119">
        <v>0</v>
      </c>
      <c r="AM34" s="119">
        <v>0</v>
      </c>
      <c r="AN34" s="119">
        <v>253.056830583742</v>
      </c>
      <c r="AO34" s="119">
        <v>0</v>
      </c>
      <c r="AP34" s="119">
        <v>0</v>
      </c>
      <c r="AQ34" s="119">
        <v>0</v>
      </c>
      <c r="AR34" s="119">
        <v>0</v>
      </c>
      <c r="AS34" s="119">
        <v>0</v>
      </c>
      <c r="AT34" s="120">
        <v>0</v>
      </c>
    </row>
    <row r="35" spans="2:46" ht="12" customHeight="1" x14ac:dyDescent="0.3">
      <c r="B35" s="118" t="s">
        <v>41</v>
      </c>
      <c r="C35" s="119" t="s">
        <v>33</v>
      </c>
      <c r="D35" s="119" t="s">
        <v>42</v>
      </c>
      <c r="E35" s="119" t="s">
        <v>86</v>
      </c>
      <c r="F35" s="119" t="s">
        <v>25</v>
      </c>
      <c r="G35" s="119" t="s">
        <v>40</v>
      </c>
      <c r="H35" s="119" t="s">
        <v>68</v>
      </c>
      <c r="I35" s="119" t="s">
        <v>25</v>
      </c>
      <c r="J35" s="119">
        <v>1063.92</v>
      </c>
      <c r="K35" s="119">
        <v>247.67</v>
      </c>
      <c r="L35" s="119">
        <v>26.6446999008757</v>
      </c>
      <c r="M35" s="119">
        <v>1.4043814657601801</v>
      </c>
      <c r="N35" s="119">
        <v>0</v>
      </c>
      <c r="O35" s="119">
        <v>0</v>
      </c>
      <c r="P35" s="119">
        <v>0</v>
      </c>
      <c r="Q35" s="119">
        <v>82.903606334628606</v>
      </c>
      <c r="R35" s="119">
        <v>13.088262808567601</v>
      </c>
      <c r="S35" s="119">
        <v>0</v>
      </c>
      <c r="T35" s="119">
        <v>0</v>
      </c>
      <c r="U35" s="119">
        <v>0</v>
      </c>
      <c r="V35" s="119">
        <v>0</v>
      </c>
      <c r="W35" s="119">
        <v>0</v>
      </c>
      <c r="X35" s="119">
        <v>349.60186700806503</v>
      </c>
      <c r="Y35" s="119">
        <v>0</v>
      </c>
      <c r="Z35" s="119">
        <v>0</v>
      </c>
      <c r="AA35" s="119">
        <v>561.86667376619698</v>
      </c>
      <c r="AB35" s="119">
        <v>0</v>
      </c>
      <c r="AC35" s="119">
        <v>0</v>
      </c>
      <c r="AD35" s="119">
        <v>0</v>
      </c>
      <c r="AE35" s="119">
        <v>28.410353946312402</v>
      </c>
      <c r="AF35" s="119">
        <v>0</v>
      </c>
      <c r="AG35" s="119">
        <v>0</v>
      </c>
      <c r="AH35" s="119">
        <v>0</v>
      </c>
      <c r="AI35" s="119">
        <v>0</v>
      </c>
      <c r="AJ35" s="119">
        <v>0</v>
      </c>
      <c r="AK35" s="119">
        <v>0</v>
      </c>
      <c r="AL35" s="119">
        <v>0</v>
      </c>
      <c r="AM35" s="119">
        <v>0</v>
      </c>
      <c r="AN35" s="119">
        <v>247.672642698982</v>
      </c>
      <c r="AO35" s="119">
        <v>0</v>
      </c>
      <c r="AP35" s="119">
        <v>0</v>
      </c>
      <c r="AQ35" s="119">
        <v>0</v>
      </c>
      <c r="AR35" s="119">
        <v>0</v>
      </c>
      <c r="AS35" s="119">
        <v>0</v>
      </c>
      <c r="AT35" s="120">
        <v>0</v>
      </c>
    </row>
    <row r="36" spans="2:46" ht="12" customHeight="1" x14ac:dyDescent="0.3">
      <c r="B36" s="118" t="s">
        <v>41</v>
      </c>
      <c r="C36" s="119" t="s">
        <v>33</v>
      </c>
      <c r="D36" s="119" t="s">
        <v>42</v>
      </c>
      <c r="E36" s="119" t="s">
        <v>86</v>
      </c>
      <c r="F36" s="119" t="s">
        <v>25</v>
      </c>
      <c r="G36" s="119" t="s">
        <v>35</v>
      </c>
      <c r="H36" s="119" t="s">
        <v>68</v>
      </c>
      <c r="I36" s="119" t="s">
        <v>25</v>
      </c>
      <c r="J36" s="119">
        <v>699.34</v>
      </c>
      <c r="K36" s="119">
        <v>247.67</v>
      </c>
      <c r="L36" s="119">
        <v>26.6446999008757</v>
      </c>
      <c r="M36" s="119">
        <v>1.4043814657601801</v>
      </c>
      <c r="N36" s="119">
        <v>0</v>
      </c>
      <c r="O36" s="119">
        <v>0</v>
      </c>
      <c r="P36" s="119">
        <v>0</v>
      </c>
      <c r="Q36" s="119">
        <v>82.903606334628606</v>
      </c>
      <c r="R36" s="119">
        <v>13.088262808567601</v>
      </c>
      <c r="S36" s="119">
        <v>0</v>
      </c>
      <c r="T36" s="119">
        <v>0</v>
      </c>
      <c r="U36" s="119">
        <v>0</v>
      </c>
      <c r="V36" s="119">
        <v>0</v>
      </c>
      <c r="W36" s="119">
        <v>0</v>
      </c>
      <c r="X36" s="119">
        <v>209.76479252125799</v>
      </c>
      <c r="Y36" s="119">
        <v>0</v>
      </c>
      <c r="Z36" s="119">
        <v>0</v>
      </c>
      <c r="AA36" s="119">
        <v>337.12004269907101</v>
      </c>
      <c r="AB36" s="119">
        <v>0</v>
      </c>
      <c r="AC36" s="119">
        <v>0</v>
      </c>
      <c r="AD36" s="119">
        <v>0</v>
      </c>
      <c r="AE36" s="119">
        <v>28.410353946312402</v>
      </c>
      <c r="AF36" s="119">
        <v>0</v>
      </c>
      <c r="AG36" s="119">
        <v>0</v>
      </c>
      <c r="AH36" s="119">
        <v>0</v>
      </c>
      <c r="AI36" s="119">
        <v>0</v>
      </c>
      <c r="AJ36" s="119">
        <v>0</v>
      </c>
      <c r="AK36" s="119">
        <v>0</v>
      </c>
      <c r="AL36" s="119">
        <v>0</v>
      </c>
      <c r="AM36" s="119">
        <v>0</v>
      </c>
      <c r="AN36" s="119">
        <v>247.672642698982</v>
      </c>
      <c r="AO36" s="119">
        <v>0</v>
      </c>
      <c r="AP36" s="119">
        <v>0</v>
      </c>
      <c r="AQ36" s="119">
        <v>0</v>
      </c>
      <c r="AR36" s="119">
        <v>0</v>
      </c>
      <c r="AS36" s="119">
        <v>0</v>
      </c>
      <c r="AT36" s="120">
        <v>0</v>
      </c>
    </row>
    <row r="37" spans="2:46" ht="12" customHeight="1" x14ac:dyDescent="0.3">
      <c r="B37" s="118" t="s">
        <v>41</v>
      </c>
      <c r="C37" s="119" t="s">
        <v>33</v>
      </c>
      <c r="D37" s="119" t="s">
        <v>42</v>
      </c>
      <c r="E37" s="119" t="s">
        <v>86</v>
      </c>
      <c r="F37" s="119" t="s">
        <v>25</v>
      </c>
      <c r="G37" s="119" t="s">
        <v>34</v>
      </c>
      <c r="H37" s="119" t="s">
        <v>68</v>
      </c>
      <c r="I37" s="119" t="s">
        <v>25</v>
      </c>
      <c r="J37" s="119">
        <v>334.75</v>
      </c>
      <c r="K37" s="119">
        <v>247.67</v>
      </c>
      <c r="L37" s="119">
        <v>26.6446999008757</v>
      </c>
      <c r="M37" s="119">
        <v>1.4043814657601801</v>
      </c>
      <c r="N37" s="119">
        <v>0</v>
      </c>
      <c r="O37" s="119">
        <v>0</v>
      </c>
      <c r="P37" s="119">
        <v>0</v>
      </c>
      <c r="Q37" s="119">
        <v>82.903606334628606</v>
      </c>
      <c r="R37" s="119">
        <v>13.088262808567601</v>
      </c>
      <c r="S37" s="119">
        <v>0</v>
      </c>
      <c r="T37" s="119">
        <v>0</v>
      </c>
      <c r="U37" s="119">
        <v>0</v>
      </c>
      <c r="V37" s="119">
        <v>0</v>
      </c>
      <c r="W37" s="119">
        <v>0</v>
      </c>
      <c r="X37" s="119">
        <v>69.921597507086005</v>
      </c>
      <c r="Y37" s="119">
        <v>0</v>
      </c>
      <c r="Z37" s="119">
        <v>0</v>
      </c>
      <c r="AA37" s="119">
        <v>112.373315533563</v>
      </c>
      <c r="AB37" s="119">
        <v>0</v>
      </c>
      <c r="AC37" s="119">
        <v>0</v>
      </c>
      <c r="AD37" s="119">
        <v>0</v>
      </c>
      <c r="AE37" s="119">
        <v>28.410353946312402</v>
      </c>
      <c r="AF37" s="119">
        <v>0</v>
      </c>
      <c r="AG37" s="119">
        <v>0</v>
      </c>
      <c r="AH37" s="119">
        <v>0</v>
      </c>
      <c r="AI37" s="119">
        <v>0</v>
      </c>
      <c r="AJ37" s="119">
        <v>0</v>
      </c>
      <c r="AK37" s="119">
        <v>0</v>
      </c>
      <c r="AL37" s="119">
        <v>0</v>
      </c>
      <c r="AM37" s="119">
        <v>0</v>
      </c>
      <c r="AN37" s="119">
        <v>247.672642698982</v>
      </c>
      <c r="AO37" s="119">
        <v>0</v>
      </c>
      <c r="AP37" s="119">
        <v>0</v>
      </c>
      <c r="AQ37" s="119">
        <v>0</v>
      </c>
      <c r="AR37" s="119">
        <v>0</v>
      </c>
      <c r="AS37" s="119">
        <v>0</v>
      </c>
      <c r="AT37" s="120">
        <v>0</v>
      </c>
    </row>
    <row r="38" spans="2:46" ht="12" customHeight="1" x14ac:dyDescent="0.3">
      <c r="B38" s="118" t="s">
        <v>41</v>
      </c>
      <c r="C38" s="119" t="s">
        <v>23</v>
      </c>
      <c r="D38" s="119" t="s">
        <v>42</v>
      </c>
      <c r="E38" s="119" t="s">
        <v>85</v>
      </c>
      <c r="F38" s="119" t="s">
        <v>25</v>
      </c>
      <c r="G38" s="119" t="s">
        <v>25</v>
      </c>
      <c r="H38" s="119" t="s">
        <v>68</v>
      </c>
      <c r="I38" s="119" t="s">
        <v>25</v>
      </c>
      <c r="J38" s="119">
        <v>456.17</v>
      </c>
      <c r="K38" s="119">
        <v>253.06</v>
      </c>
      <c r="L38" s="119">
        <v>27.2239325074165</v>
      </c>
      <c r="M38" s="119">
        <v>1.4349114976245301</v>
      </c>
      <c r="N38" s="119">
        <v>0</v>
      </c>
      <c r="O38" s="119">
        <v>0</v>
      </c>
      <c r="P38" s="119">
        <v>0</v>
      </c>
      <c r="Q38" s="119">
        <v>84.705858646250903</v>
      </c>
      <c r="R38" s="119">
        <v>13.372790260927699</v>
      </c>
      <c r="S38" s="119">
        <v>0</v>
      </c>
      <c r="T38" s="119">
        <v>0</v>
      </c>
      <c r="U38" s="119">
        <v>0</v>
      </c>
      <c r="V38" s="119">
        <v>0</v>
      </c>
      <c r="W38" s="119">
        <v>0</v>
      </c>
      <c r="X38" s="119">
        <v>115.221782050287</v>
      </c>
      <c r="Y38" s="119">
        <v>0</v>
      </c>
      <c r="Z38" s="119">
        <v>0</v>
      </c>
      <c r="AA38" s="119">
        <v>185.18747312069601</v>
      </c>
      <c r="AB38" s="119">
        <v>0</v>
      </c>
      <c r="AC38" s="119">
        <v>0</v>
      </c>
      <c r="AD38" s="119">
        <v>0</v>
      </c>
      <c r="AE38" s="119">
        <v>29.027970336449702</v>
      </c>
      <c r="AF38" s="119">
        <v>0</v>
      </c>
      <c r="AG38" s="119">
        <v>0</v>
      </c>
      <c r="AH38" s="119">
        <v>0</v>
      </c>
      <c r="AI38" s="119">
        <v>0</v>
      </c>
      <c r="AJ38" s="119">
        <v>0</v>
      </c>
      <c r="AK38" s="119">
        <v>0</v>
      </c>
      <c r="AL38" s="119">
        <v>0</v>
      </c>
      <c r="AM38" s="119">
        <v>0</v>
      </c>
      <c r="AN38" s="119">
        <v>253.056830583742</v>
      </c>
      <c r="AO38" s="119">
        <v>0</v>
      </c>
      <c r="AP38" s="119">
        <v>0</v>
      </c>
      <c r="AQ38" s="119">
        <v>0</v>
      </c>
      <c r="AR38" s="119">
        <v>0</v>
      </c>
      <c r="AS38" s="119">
        <v>0</v>
      </c>
      <c r="AT38" s="120">
        <v>0</v>
      </c>
    </row>
    <row r="39" spans="2:46" ht="12" customHeight="1" x14ac:dyDescent="0.3">
      <c r="B39" s="118" t="s">
        <v>41</v>
      </c>
      <c r="C39" s="119" t="s">
        <v>23</v>
      </c>
      <c r="D39" s="119" t="s">
        <v>42</v>
      </c>
      <c r="E39" s="119" t="s">
        <v>25</v>
      </c>
      <c r="F39" s="119" t="s">
        <v>25</v>
      </c>
      <c r="G39" s="119" t="s">
        <v>25</v>
      </c>
      <c r="H39" s="119" t="s">
        <v>68</v>
      </c>
      <c r="I39" s="119" t="s">
        <v>25</v>
      </c>
      <c r="J39" s="119">
        <v>456.17</v>
      </c>
      <c r="K39" s="119">
        <v>253.06</v>
      </c>
      <c r="L39" s="119">
        <v>27.2239325074165</v>
      </c>
      <c r="M39" s="119">
        <v>1.4349114976245301</v>
      </c>
      <c r="N39" s="119">
        <v>0</v>
      </c>
      <c r="O39" s="119">
        <v>0</v>
      </c>
      <c r="P39" s="119">
        <v>0</v>
      </c>
      <c r="Q39" s="119">
        <v>84.705858646250903</v>
      </c>
      <c r="R39" s="119">
        <v>13.372790260927699</v>
      </c>
      <c r="S39" s="119">
        <v>0</v>
      </c>
      <c r="T39" s="119">
        <v>0</v>
      </c>
      <c r="U39" s="119">
        <v>0</v>
      </c>
      <c r="V39" s="119">
        <v>0</v>
      </c>
      <c r="W39" s="119">
        <v>0</v>
      </c>
      <c r="X39" s="119">
        <v>115.221782050287</v>
      </c>
      <c r="Y39" s="119">
        <v>0</v>
      </c>
      <c r="Z39" s="119">
        <v>0</v>
      </c>
      <c r="AA39" s="119">
        <v>185.18747312069601</v>
      </c>
      <c r="AB39" s="119">
        <v>0</v>
      </c>
      <c r="AC39" s="119">
        <v>0</v>
      </c>
      <c r="AD39" s="119">
        <v>0</v>
      </c>
      <c r="AE39" s="119">
        <v>29.027970336449702</v>
      </c>
      <c r="AF39" s="119">
        <v>0</v>
      </c>
      <c r="AG39" s="119">
        <v>0</v>
      </c>
      <c r="AH39" s="119">
        <v>0</v>
      </c>
      <c r="AI39" s="119">
        <v>0</v>
      </c>
      <c r="AJ39" s="119">
        <v>0</v>
      </c>
      <c r="AK39" s="119">
        <v>0</v>
      </c>
      <c r="AL39" s="119">
        <v>0</v>
      </c>
      <c r="AM39" s="119">
        <v>0</v>
      </c>
      <c r="AN39" s="119">
        <v>253.056830583742</v>
      </c>
      <c r="AO39" s="119">
        <v>0</v>
      </c>
      <c r="AP39" s="119">
        <v>0</v>
      </c>
      <c r="AQ39" s="119">
        <v>0</v>
      </c>
      <c r="AR39" s="119">
        <v>0</v>
      </c>
      <c r="AS39" s="119">
        <v>0</v>
      </c>
      <c r="AT39" s="120">
        <v>0</v>
      </c>
    </row>
    <row r="40" spans="2:46" ht="12" customHeight="1" x14ac:dyDescent="0.3">
      <c r="B40" s="118" t="s">
        <v>41</v>
      </c>
      <c r="C40" s="119" t="s">
        <v>23</v>
      </c>
      <c r="D40" s="119" t="s">
        <v>42</v>
      </c>
      <c r="E40" s="119" t="s">
        <v>86</v>
      </c>
      <c r="F40" s="119" t="s">
        <v>25</v>
      </c>
      <c r="G40" s="119" t="s">
        <v>25</v>
      </c>
      <c r="H40" s="119" t="s">
        <v>68</v>
      </c>
      <c r="I40" s="119" t="s">
        <v>25</v>
      </c>
      <c r="J40" s="119">
        <v>446.47</v>
      </c>
      <c r="K40" s="119">
        <v>247.67</v>
      </c>
      <c r="L40" s="119">
        <v>26.6446999008757</v>
      </c>
      <c r="M40" s="119">
        <v>1.4043814657601801</v>
      </c>
      <c r="N40" s="119">
        <v>0</v>
      </c>
      <c r="O40" s="119">
        <v>0</v>
      </c>
      <c r="P40" s="119">
        <v>0</v>
      </c>
      <c r="Q40" s="119">
        <v>82.903606334628606</v>
      </c>
      <c r="R40" s="119">
        <v>13.088262808567601</v>
      </c>
      <c r="S40" s="119">
        <v>0</v>
      </c>
      <c r="T40" s="119">
        <v>0</v>
      </c>
      <c r="U40" s="119">
        <v>0</v>
      </c>
      <c r="V40" s="119">
        <v>0</v>
      </c>
      <c r="W40" s="119">
        <v>0</v>
      </c>
      <c r="X40" s="119">
        <v>112.770254772621</v>
      </c>
      <c r="Y40" s="119">
        <v>0</v>
      </c>
      <c r="Z40" s="119">
        <v>0</v>
      </c>
      <c r="AA40" s="119">
        <v>181.247314118128</v>
      </c>
      <c r="AB40" s="119">
        <v>0</v>
      </c>
      <c r="AC40" s="119">
        <v>0</v>
      </c>
      <c r="AD40" s="119">
        <v>0</v>
      </c>
      <c r="AE40" s="119">
        <v>28.410353946312402</v>
      </c>
      <c r="AF40" s="119">
        <v>0</v>
      </c>
      <c r="AG40" s="119">
        <v>0</v>
      </c>
      <c r="AH40" s="119">
        <v>0</v>
      </c>
      <c r="AI40" s="119">
        <v>0</v>
      </c>
      <c r="AJ40" s="119">
        <v>0</v>
      </c>
      <c r="AK40" s="119">
        <v>0</v>
      </c>
      <c r="AL40" s="119">
        <v>0</v>
      </c>
      <c r="AM40" s="119">
        <v>0</v>
      </c>
      <c r="AN40" s="119">
        <v>247.672642698982</v>
      </c>
      <c r="AO40" s="119">
        <v>0</v>
      </c>
      <c r="AP40" s="119">
        <v>0</v>
      </c>
      <c r="AQ40" s="119">
        <v>0</v>
      </c>
      <c r="AR40" s="119">
        <v>0</v>
      </c>
      <c r="AS40" s="119">
        <v>0</v>
      </c>
      <c r="AT40" s="120">
        <v>0</v>
      </c>
    </row>
    <row r="41" spans="2:46" ht="12" customHeight="1" x14ac:dyDescent="0.3">
      <c r="B41" s="118" t="s">
        <v>41</v>
      </c>
      <c r="C41" s="119" t="s">
        <v>84</v>
      </c>
      <c r="D41" s="119" t="s">
        <v>42</v>
      </c>
      <c r="E41" s="119" t="s">
        <v>85</v>
      </c>
      <c r="F41" s="119" t="s">
        <v>25</v>
      </c>
      <c r="G41" s="119" t="s">
        <v>25</v>
      </c>
      <c r="H41" s="119" t="s">
        <v>68</v>
      </c>
      <c r="I41" s="119" t="s">
        <v>25</v>
      </c>
      <c r="J41" s="119">
        <v>456.17</v>
      </c>
      <c r="K41" s="119">
        <v>253.06</v>
      </c>
      <c r="L41" s="119">
        <v>27.2239325074165</v>
      </c>
      <c r="M41" s="119">
        <v>1.4349114976245301</v>
      </c>
      <c r="N41" s="119">
        <v>0</v>
      </c>
      <c r="O41" s="119">
        <v>0</v>
      </c>
      <c r="P41" s="119">
        <v>0</v>
      </c>
      <c r="Q41" s="119">
        <v>84.705858646250903</v>
      </c>
      <c r="R41" s="119">
        <v>13.372790260927699</v>
      </c>
      <c r="S41" s="119">
        <v>0</v>
      </c>
      <c r="T41" s="119">
        <v>0</v>
      </c>
      <c r="U41" s="119">
        <v>0</v>
      </c>
      <c r="V41" s="119">
        <v>0</v>
      </c>
      <c r="W41" s="119">
        <v>0</v>
      </c>
      <c r="X41" s="119">
        <v>115.221782050287</v>
      </c>
      <c r="Y41" s="119">
        <v>0</v>
      </c>
      <c r="Z41" s="119">
        <v>0</v>
      </c>
      <c r="AA41" s="119">
        <v>185.18747312069601</v>
      </c>
      <c r="AB41" s="119">
        <v>0</v>
      </c>
      <c r="AC41" s="119">
        <v>0</v>
      </c>
      <c r="AD41" s="119">
        <v>0</v>
      </c>
      <c r="AE41" s="119">
        <v>29.027970336449702</v>
      </c>
      <c r="AF41" s="119">
        <v>0</v>
      </c>
      <c r="AG41" s="119">
        <v>0</v>
      </c>
      <c r="AH41" s="119">
        <v>0</v>
      </c>
      <c r="AI41" s="119">
        <v>0</v>
      </c>
      <c r="AJ41" s="119">
        <v>0</v>
      </c>
      <c r="AK41" s="119">
        <v>0</v>
      </c>
      <c r="AL41" s="119">
        <v>0</v>
      </c>
      <c r="AM41" s="119">
        <v>0</v>
      </c>
      <c r="AN41" s="119">
        <v>253.056830583742</v>
      </c>
      <c r="AO41" s="119">
        <v>0</v>
      </c>
      <c r="AP41" s="119">
        <v>0</v>
      </c>
      <c r="AQ41" s="119">
        <v>0</v>
      </c>
      <c r="AR41" s="119">
        <v>0</v>
      </c>
      <c r="AS41" s="119">
        <v>0</v>
      </c>
      <c r="AT41" s="120">
        <v>0</v>
      </c>
    </row>
    <row r="42" spans="2:46" ht="12" customHeight="1" x14ac:dyDescent="0.3">
      <c r="B42" s="118" t="s">
        <v>41</v>
      </c>
      <c r="C42" s="119" t="s">
        <v>84</v>
      </c>
      <c r="D42" s="119" t="s">
        <v>42</v>
      </c>
      <c r="E42" s="119" t="s">
        <v>25</v>
      </c>
      <c r="F42" s="119" t="s">
        <v>25</v>
      </c>
      <c r="G42" s="119" t="s">
        <v>25</v>
      </c>
      <c r="H42" s="119" t="s">
        <v>68</v>
      </c>
      <c r="I42" s="119" t="s">
        <v>25</v>
      </c>
      <c r="J42" s="119">
        <v>456.17</v>
      </c>
      <c r="K42" s="119">
        <v>253.06</v>
      </c>
      <c r="L42" s="119">
        <v>27.2239325074165</v>
      </c>
      <c r="M42" s="119">
        <v>1.4349114976245301</v>
      </c>
      <c r="N42" s="119">
        <v>0</v>
      </c>
      <c r="O42" s="119">
        <v>0</v>
      </c>
      <c r="P42" s="119">
        <v>0</v>
      </c>
      <c r="Q42" s="119">
        <v>84.705858646250903</v>
      </c>
      <c r="R42" s="119">
        <v>13.372790260927699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115.221782050287</v>
      </c>
      <c r="Y42" s="119">
        <v>0</v>
      </c>
      <c r="Z42" s="119">
        <v>0</v>
      </c>
      <c r="AA42" s="119">
        <v>185.18747312069601</v>
      </c>
      <c r="AB42" s="119">
        <v>0</v>
      </c>
      <c r="AC42" s="119">
        <v>0</v>
      </c>
      <c r="AD42" s="119">
        <v>0</v>
      </c>
      <c r="AE42" s="119">
        <v>29.027970336449702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253.056830583742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20">
        <v>0</v>
      </c>
    </row>
    <row r="43" spans="2:46" ht="12" customHeight="1" x14ac:dyDescent="0.3">
      <c r="B43" s="118" t="s">
        <v>41</v>
      </c>
      <c r="C43" s="119" t="s">
        <v>84</v>
      </c>
      <c r="D43" s="119" t="s">
        <v>42</v>
      </c>
      <c r="E43" s="119" t="s">
        <v>86</v>
      </c>
      <c r="F43" s="119" t="s">
        <v>25</v>
      </c>
      <c r="G43" s="119" t="s">
        <v>25</v>
      </c>
      <c r="H43" s="119" t="s">
        <v>68</v>
      </c>
      <c r="I43" s="119" t="s">
        <v>25</v>
      </c>
      <c r="J43" s="119">
        <v>446.47</v>
      </c>
      <c r="K43" s="119">
        <v>247.67</v>
      </c>
      <c r="L43" s="119">
        <v>26.6446999008757</v>
      </c>
      <c r="M43" s="119">
        <v>1.4043814657601801</v>
      </c>
      <c r="N43" s="119">
        <v>0</v>
      </c>
      <c r="O43" s="119">
        <v>0</v>
      </c>
      <c r="P43" s="119">
        <v>0</v>
      </c>
      <c r="Q43" s="119">
        <v>82.903606334628606</v>
      </c>
      <c r="R43" s="119">
        <v>13.088262808567601</v>
      </c>
      <c r="S43" s="119">
        <v>0</v>
      </c>
      <c r="T43" s="119">
        <v>0</v>
      </c>
      <c r="U43" s="119">
        <v>0</v>
      </c>
      <c r="V43" s="119">
        <v>0</v>
      </c>
      <c r="W43" s="119">
        <v>0</v>
      </c>
      <c r="X43" s="119">
        <v>112.770254772621</v>
      </c>
      <c r="Y43" s="119">
        <v>0</v>
      </c>
      <c r="Z43" s="119">
        <v>0</v>
      </c>
      <c r="AA43" s="119">
        <v>181.247314118128</v>
      </c>
      <c r="AB43" s="119">
        <v>0</v>
      </c>
      <c r="AC43" s="119">
        <v>0</v>
      </c>
      <c r="AD43" s="119">
        <v>0</v>
      </c>
      <c r="AE43" s="119">
        <v>28.410353946312402</v>
      </c>
      <c r="AF43" s="119">
        <v>0</v>
      </c>
      <c r="AG43" s="119">
        <v>0</v>
      </c>
      <c r="AH43" s="119">
        <v>0</v>
      </c>
      <c r="AI43" s="119">
        <v>0</v>
      </c>
      <c r="AJ43" s="119">
        <v>0</v>
      </c>
      <c r="AK43" s="119">
        <v>0</v>
      </c>
      <c r="AL43" s="119">
        <v>0</v>
      </c>
      <c r="AM43" s="119">
        <v>0</v>
      </c>
      <c r="AN43" s="119">
        <v>247.672642698982</v>
      </c>
      <c r="AO43" s="119">
        <v>0</v>
      </c>
      <c r="AP43" s="119">
        <v>0</v>
      </c>
      <c r="AQ43" s="119">
        <v>0</v>
      </c>
      <c r="AR43" s="119">
        <v>0</v>
      </c>
      <c r="AS43" s="119">
        <v>0</v>
      </c>
      <c r="AT43" s="120">
        <v>0</v>
      </c>
    </row>
    <row r="44" spans="2:46" ht="12" customHeight="1" x14ac:dyDescent="0.3">
      <c r="B44" s="118" t="s">
        <v>36</v>
      </c>
      <c r="C44" s="119" t="s">
        <v>33</v>
      </c>
      <c r="D44" s="119" t="s">
        <v>25</v>
      </c>
      <c r="E44" s="119" t="s">
        <v>25</v>
      </c>
      <c r="F44" s="119" t="s">
        <v>25</v>
      </c>
      <c r="G44" s="119" t="s">
        <v>40</v>
      </c>
      <c r="H44" s="119" t="s">
        <v>68</v>
      </c>
      <c r="I44" s="119" t="s">
        <v>25</v>
      </c>
      <c r="J44" s="119">
        <v>1188.3900000000001</v>
      </c>
      <c r="K44" s="119">
        <v>269.20999999999998</v>
      </c>
      <c r="L44" s="119">
        <v>28.9616303270389</v>
      </c>
      <c r="M44" s="119">
        <v>1.52650159321759</v>
      </c>
      <c r="N44" s="119">
        <v>0</v>
      </c>
      <c r="O44" s="119">
        <v>0</v>
      </c>
      <c r="P44" s="119">
        <v>0</v>
      </c>
      <c r="Q44" s="119">
        <v>90.112615581118007</v>
      </c>
      <c r="R44" s="119">
        <v>14.226372618008201</v>
      </c>
      <c r="S44" s="119">
        <v>0</v>
      </c>
      <c r="T44" s="119">
        <v>0</v>
      </c>
      <c r="U44" s="119">
        <v>0</v>
      </c>
      <c r="V44" s="119">
        <v>0</v>
      </c>
      <c r="W44" s="119">
        <v>0</v>
      </c>
      <c r="X44" s="119">
        <v>392.25500882192603</v>
      </c>
      <c r="Y44" s="119">
        <v>0</v>
      </c>
      <c r="Z44" s="119">
        <v>0</v>
      </c>
      <c r="AA44" s="119">
        <v>630.42549263826197</v>
      </c>
      <c r="AB44" s="119">
        <v>0</v>
      </c>
      <c r="AC44" s="119">
        <v>0</v>
      </c>
      <c r="AD44" s="119">
        <v>0</v>
      </c>
      <c r="AE44" s="119">
        <v>30.8808195068613</v>
      </c>
      <c r="AF44" s="119">
        <v>0</v>
      </c>
      <c r="AG44" s="119">
        <v>0</v>
      </c>
      <c r="AH44" s="119">
        <v>0</v>
      </c>
      <c r="AI44" s="119">
        <v>0</v>
      </c>
      <c r="AJ44" s="119">
        <v>0</v>
      </c>
      <c r="AK44" s="119">
        <v>0</v>
      </c>
      <c r="AL44" s="119">
        <v>0</v>
      </c>
      <c r="AM44" s="119">
        <v>0</v>
      </c>
      <c r="AN44" s="119">
        <v>269.209394238024</v>
      </c>
      <c r="AO44" s="119">
        <v>0</v>
      </c>
      <c r="AP44" s="119">
        <v>0</v>
      </c>
      <c r="AQ44" s="119">
        <v>0</v>
      </c>
      <c r="AR44" s="119">
        <v>0</v>
      </c>
      <c r="AS44" s="119">
        <v>0</v>
      </c>
      <c r="AT44" s="120">
        <v>0</v>
      </c>
    </row>
    <row r="45" spans="2:46" ht="12" customHeight="1" x14ac:dyDescent="0.3">
      <c r="B45" s="118" t="s">
        <v>36</v>
      </c>
      <c r="C45" s="119" t="s">
        <v>33</v>
      </c>
      <c r="D45" s="119" t="s">
        <v>25</v>
      </c>
      <c r="E45" s="119" t="s">
        <v>25</v>
      </c>
      <c r="F45" s="119" t="s">
        <v>25</v>
      </c>
      <c r="G45" s="119" t="s">
        <v>35</v>
      </c>
      <c r="H45" s="119" t="s">
        <v>68</v>
      </c>
      <c r="I45" s="119" t="s">
        <v>25</v>
      </c>
      <c r="J45" s="119">
        <v>779.32</v>
      </c>
      <c r="K45" s="119">
        <v>269.20999999999998</v>
      </c>
      <c r="L45" s="119">
        <v>28.9616303270389</v>
      </c>
      <c r="M45" s="119">
        <v>1.52650159321759</v>
      </c>
      <c r="N45" s="119">
        <v>0</v>
      </c>
      <c r="O45" s="119">
        <v>0</v>
      </c>
      <c r="P45" s="119">
        <v>0</v>
      </c>
      <c r="Q45" s="119">
        <v>90.112615581118007</v>
      </c>
      <c r="R45" s="119">
        <v>14.226372618008201</v>
      </c>
      <c r="S45" s="119">
        <v>0</v>
      </c>
      <c r="T45" s="119">
        <v>0</v>
      </c>
      <c r="U45" s="119">
        <v>0</v>
      </c>
      <c r="V45" s="119">
        <v>0</v>
      </c>
      <c r="W45" s="119">
        <v>0</v>
      </c>
      <c r="X45" s="119">
        <v>235.35699694143699</v>
      </c>
      <c r="Y45" s="119">
        <v>0</v>
      </c>
      <c r="Z45" s="119">
        <v>0</v>
      </c>
      <c r="AA45" s="119">
        <v>378.25519112819399</v>
      </c>
      <c r="AB45" s="119">
        <v>0</v>
      </c>
      <c r="AC45" s="119">
        <v>0</v>
      </c>
      <c r="AD45" s="119">
        <v>0</v>
      </c>
      <c r="AE45" s="119">
        <v>30.8808195068613</v>
      </c>
      <c r="AF45" s="119">
        <v>0</v>
      </c>
      <c r="AG45" s="119">
        <v>0</v>
      </c>
      <c r="AH45" s="119">
        <v>0</v>
      </c>
      <c r="AI45" s="119">
        <v>0</v>
      </c>
      <c r="AJ45" s="119">
        <v>0</v>
      </c>
      <c r="AK45" s="119">
        <v>0</v>
      </c>
      <c r="AL45" s="119">
        <v>0</v>
      </c>
      <c r="AM45" s="119">
        <v>0</v>
      </c>
      <c r="AN45" s="119">
        <v>269.209394238024</v>
      </c>
      <c r="AO45" s="119">
        <v>0</v>
      </c>
      <c r="AP45" s="119">
        <v>0</v>
      </c>
      <c r="AQ45" s="119">
        <v>0</v>
      </c>
      <c r="AR45" s="119">
        <v>0</v>
      </c>
      <c r="AS45" s="119">
        <v>0</v>
      </c>
      <c r="AT45" s="120">
        <v>0</v>
      </c>
    </row>
    <row r="46" spans="2:46" ht="12" customHeight="1" x14ac:dyDescent="0.3">
      <c r="B46" s="118" t="s">
        <v>36</v>
      </c>
      <c r="C46" s="119" t="s">
        <v>33</v>
      </c>
      <c r="D46" s="119" t="s">
        <v>25</v>
      </c>
      <c r="E46" s="119" t="s">
        <v>25</v>
      </c>
      <c r="F46" s="119" t="s">
        <v>25</v>
      </c>
      <c r="G46" s="119" t="s">
        <v>34</v>
      </c>
      <c r="H46" s="119" t="s">
        <v>68</v>
      </c>
      <c r="I46" s="119" t="s">
        <v>25</v>
      </c>
      <c r="J46" s="119">
        <v>370.25</v>
      </c>
      <c r="K46" s="119">
        <v>269.20999999999998</v>
      </c>
      <c r="L46" s="119">
        <v>28.9616303270389</v>
      </c>
      <c r="M46" s="119">
        <v>1.52650159321759</v>
      </c>
      <c r="N46" s="119">
        <v>0</v>
      </c>
      <c r="O46" s="119">
        <v>0</v>
      </c>
      <c r="P46" s="119">
        <v>0</v>
      </c>
      <c r="Q46" s="119">
        <v>90.112615581118007</v>
      </c>
      <c r="R46" s="119">
        <v>14.226372618008201</v>
      </c>
      <c r="S46" s="119">
        <v>0</v>
      </c>
      <c r="T46" s="119">
        <v>0</v>
      </c>
      <c r="U46" s="119">
        <v>0</v>
      </c>
      <c r="V46" s="119">
        <v>0</v>
      </c>
      <c r="W46" s="119">
        <v>0</v>
      </c>
      <c r="X46" s="119">
        <v>78.452332313812406</v>
      </c>
      <c r="Y46" s="119">
        <v>0</v>
      </c>
      <c r="Z46" s="119">
        <v>0</v>
      </c>
      <c r="AA46" s="119">
        <v>126.08509852765199</v>
      </c>
      <c r="AB46" s="119">
        <v>0</v>
      </c>
      <c r="AC46" s="119">
        <v>0</v>
      </c>
      <c r="AD46" s="119">
        <v>0</v>
      </c>
      <c r="AE46" s="119">
        <v>30.8808195068613</v>
      </c>
      <c r="AF46" s="119">
        <v>0</v>
      </c>
      <c r="AG46" s="119">
        <v>0</v>
      </c>
      <c r="AH46" s="119">
        <v>0</v>
      </c>
      <c r="AI46" s="119">
        <v>0</v>
      </c>
      <c r="AJ46" s="119">
        <v>0</v>
      </c>
      <c r="AK46" s="119">
        <v>0</v>
      </c>
      <c r="AL46" s="119">
        <v>0</v>
      </c>
      <c r="AM46" s="119">
        <v>0</v>
      </c>
      <c r="AN46" s="119">
        <v>269.209394238024</v>
      </c>
      <c r="AO46" s="119">
        <v>0</v>
      </c>
      <c r="AP46" s="119">
        <v>0</v>
      </c>
      <c r="AQ46" s="119">
        <v>0</v>
      </c>
      <c r="AR46" s="119">
        <v>0</v>
      </c>
      <c r="AS46" s="119">
        <v>0</v>
      </c>
      <c r="AT46" s="120">
        <v>0</v>
      </c>
    </row>
    <row r="47" spans="2:46" ht="12" customHeight="1" x14ac:dyDescent="0.3">
      <c r="B47" s="118" t="s">
        <v>36</v>
      </c>
      <c r="C47" s="119" t="s">
        <v>23</v>
      </c>
      <c r="D47" s="119" t="s">
        <v>25</v>
      </c>
      <c r="E47" s="119" t="s">
        <v>25</v>
      </c>
      <c r="F47" s="119" t="s">
        <v>25</v>
      </c>
      <c r="G47" s="119" t="s">
        <v>25</v>
      </c>
      <c r="H47" s="119" t="s">
        <v>68</v>
      </c>
      <c r="I47" s="119" t="s">
        <v>25</v>
      </c>
      <c r="J47" s="119">
        <v>485.29</v>
      </c>
      <c r="K47" s="119">
        <v>269.20999999999998</v>
      </c>
      <c r="L47" s="119">
        <v>28.9616303270389</v>
      </c>
      <c r="M47" s="119">
        <v>1.52650159321759</v>
      </c>
      <c r="N47" s="119">
        <v>0</v>
      </c>
      <c r="O47" s="119">
        <v>0</v>
      </c>
      <c r="P47" s="119">
        <v>0</v>
      </c>
      <c r="Q47" s="119">
        <v>90.112615581118007</v>
      </c>
      <c r="R47" s="119">
        <v>14.226372618008201</v>
      </c>
      <c r="S47" s="119">
        <v>0</v>
      </c>
      <c r="T47" s="119">
        <v>0</v>
      </c>
      <c r="U47" s="119">
        <v>0</v>
      </c>
      <c r="V47" s="119">
        <v>0</v>
      </c>
      <c r="W47" s="119">
        <v>0</v>
      </c>
      <c r="X47" s="119">
        <v>122.576363883284</v>
      </c>
      <c r="Y47" s="119">
        <v>0</v>
      </c>
      <c r="Z47" s="119">
        <v>0</v>
      </c>
      <c r="AA47" s="119">
        <v>197.00795012840001</v>
      </c>
      <c r="AB47" s="119">
        <v>0</v>
      </c>
      <c r="AC47" s="119">
        <v>0</v>
      </c>
      <c r="AD47" s="119">
        <v>0</v>
      </c>
      <c r="AE47" s="119">
        <v>30.8808195068613</v>
      </c>
      <c r="AF47" s="119">
        <v>0</v>
      </c>
      <c r="AG47" s="119">
        <v>0</v>
      </c>
      <c r="AH47" s="119">
        <v>0</v>
      </c>
      <c r="AI47" s="119">
        <v>0</v>
      </c>
      <c r="AJ47" s="119">
        <v>0</v>
      </c>
      <c r="AK47" s="119">
        <v>0</v>
      </c>
      <c r="AL47" s="119">
        <v>0</v>
      </c>
      <c r="AM47" s="119">
        <v>0</v>
      </c>
      <c r="AN47" s="119">
        <v>269.209394238024</v>
      </c>
      <c r="AO47" s="119">
        <v>0</v>
      </c>
      <c r="AP47" s="119">
        <v>0</v>
      </c>
      <c r="AQ47" s="119">
        <v>0</v>
      </c>
      <c r="AR47" s="119">
        <v>0</v>
      </c>
      <c r="AS47" s="119">
        <v>0</v>
      </c>
      <c r="AT47" s="120">
        <v>0</v>
      </c>
    </row>
    <row r="48" spans="2:46" ht="12" customHeight="1" x14ac:dyDescent="0.3">
      <c r="B48" s="118" t="s">
        <v>36</v>
      </c>
      <c r="C48" s="119" t="s">
        <v>84</v>
      </c>
      <c r="D48" s="119" t="s">
        <v>25</v>
      </c>
      <c r="E48" s="119" t="s">
        <v>25</v>
      </c>
      <c r="F48" s="119" t="s">
        <v>25</v>
      </c>
      <c r="G48" s="119" t="s">
        <v>25</v>
      </c>
      <c r="H48" s="119" t="s">
        <v>68</v>
      </c>
      <c r="I48" s="119" t="s">
        <v>25</v>
      </c>
      <c r="J48" s="119">
        <v>485.29</v>
      </c>
      <c r="K48" s="119">
        <v>269.20999999999998</v>
      </c>
      <c r="L48" s="119">
        <v>28.9616303270389</v>
      </c>
      <c r="M48" s="119">
        <v>1.52650159321759</v>
      </c>
      <c r="N48" s="119">
        <v>0</v>
      </c>
      <c r="O48" s="119">
        <v>0</v>
      </c>
      <c r="P48" s="119">
        <v>0</v>
      </c>
      <c r="Q48" s="119">
        <v>90.112615581118007</v>
      </c>
      <c r="R48" s="119">
        <v>14.226372618008201</v>
      </c>
      <c r="S48" s="119">
        <v>0</v>
      </c>
      <c r="T48" s="119">
        <v>0</v>
      </c>
      <c r="U48" s="119">
        <v>0</v>
      </c>
      <c r="V48" s="119">
        <v>0</v>
      </c>
      <c r="W48" s="119">
        <v>0</v>
      </c>
      <c r="X48" s="119">
        <v>122.576363883284</v>
      </c>
      <c r="Y48" s="119">
        <v>0</v>
      </c>
      <c r="Z48" s="119">
        <v>0</v>
      </c>
      <c r="AA48" s="119">
        <v>197.00795012840001</v>
      </c>
      <c r="AB48" s="119">
        <v>0</v>
      </c>
      <c r="AC48" s="119">
        <v>0</v>
      </c>
      <c r="AD48" s="119">
        <v>0</v>
      </c>
      <c r="AE48" s="119">
        <v>30.8808195068613</v>
      </c>
      <c r="AF48" s="119">
        <v>0</v>
      </c>
      <c r="AG48" s="119">
        <v>0</v>
      </c>
      <c r="AH48" s="119">
        <v>0</v>
      </c>
      <c r="AI48" s="119">
        <v>0</v>
      </c>
      <c r="AJ48" s="119">
        <v>0</v>
      </c>
      <c r="AK48" s="119">
        <v>0</v>
      </c>
      <c r="AL48" s="119">
        <v>0</v>
      </c>
      <c r="AM48" s="119">
        <v>0</v>
      </c>
      <c r="AN48" s="119">
        <v>269.209394238024</v>
      </c>
      <c r="AO48" s="119">
        <v>0</v>
      </c>
      <c r="AP48" s="119">
        <v>0</v>
      </c>
      <c r="AQ48" s="119">
        <v>0</v>
      </c>
      <c r="AR48" s="119">
        <v>0</v>
      </c>
      <c r="AS48" s="119">
        <v>0</v>
      </c>
      <c r="AT48" s="120">
        <v>0</v>
      </c>
    </row>
    <row r="49" spans="2:46" ht="12" customHeight="1" x14ac:dyDescent="0.3">
      <c r="B49" s="118" t="s">
        <v>44</v>
      </c>
      <c r="C49" s="119" t="s">
        <v>23</v>
      </c>
      <c r="D49" s="119" t="s">
        <v>45</v>
      </c>
      <c r="E49" s="119" t="s">
        <v>46</v>
      </c>
      <c r="F49" s="119" t="s">
        <v>25</v>
      </c>
      <c r="G49" s="119" t="s">
        <v>25</v>
      </c>
      <c r="H49" s="119" t="s">
        <v>68</v>
      </c>
      <c r="I49" s="119" t="s">
        <v>25</v>
      </c>
      <c r="J49" s="119">
        <v>266.91000000000003</v>
      </c>
      <c r="K49" s="119">
        <v>148.07</v>
      </c>
      <c r="L49" s="119">
        <v>15.9288966798714</v>
      </c>
      <c r="M49" s="119">
        <v>0.839575876269674</v>
      </c>
      <c r="N49" s="119">
        <v>0</v>
      </c>
      <c r="O49" s="119">
        <v>0</v>
      </c>
      <c r="P49" s="119">
        <v>0</v>
      </c>
      <c r="Q49" s="119">
        <v>49.561938569614902</v>
      </c>
      <c r="R49" s="119">
        <v>7.8245049399045303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67.417000135806205</v>
      </c>
      <c r="Y49" s="119">
        <v>0</v>
      </c>
      <c r="Z49" s="119">
        <v>0</v>
      </c>
      <c r="AA49" s="119">
        <v>108.35437257062</v>
      </c>
      <c r="AB49" s="119">
        <v>0</v>
      </c>
      <c r="AC49" s="119">
        <v>0</v>
      </c>
      <c r="AD49" s="119">
        <v>0</v>
      </c>
      <c r="AE49" s="119">
        <v>16.984450728773702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0</v>
      </c>
      <c r="AN49" s="119">
        <v>148.065166830913</v>
      </c>
      <c r="AO49" s="119">
        <v>0</v>
      </c>
      <c r="AP49" s="119">
        <v>0</v>
      </c>
      <c r="AQ49" s="119">
        <v>0</v>
      </c>
      <c r="AR49" s="119">
        <v>0</v>
      </c>
      <c r="AS49" s="119">
        <v>0</v>
      </c>
      <c r="AT49" s="120">
        <v>0</v>
      </c>
    </row>
    <row r="50" spans="2:46" ht="12" customHeight="1" x14ac:dyDescent="0.3">
      <c r="B50" s="121" t="s">
        <v>44</v>
      </c>
      <c r="C50" s="122" t="s">
        <v>23</v>
      </c>
      <c r="D50" s="122" t="s">
        <v>45</v>
      </c>
      <c r="E50" s="122" t="s">
        <v>87</v>
      </c>
      <c r="F50" s="122" t="s">
        <v>25</v>
      </c>
      <c r="G50" s="122" t="s">
        <v>25</v>
      </c>
      <c r="H50" s="122" t="s">
        <v>68</v>
      </c>
      <c r="I50" s="122" t="s">
        <v>25</v>
      </c>
      <c r="J50" s="122">
        <v>291.18</v>
      </c>
      <c r="K50" s="122">
        <v>161.53</v>
      </c>
      <c r="L50" s="122">
        <v>17.376978196223298</v>
      </c>
      <c r="M50" s="122">
        <v>0.91590095593055298</v>
      </c>
      <c r="N50" s="122">
        <v>0</v>
      </c>
      <c r="O50" s="122">
        <v>0</v>
      </c>
      <c r="P50" s="122">
        <v>0</v>
      </c>
      <c r="Q50" s="122">
        <v>54.067569348670801</v>
      </c>
      <c r="R50" s="122">
        <v>8.5358235708049399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73.545818329970402</v>
      </c>
      <c r="Y50" s="122">
        <v>0</v>
      </c>
      <c r="Z50" s="122">
        <v>0</v>
      </c>
      <c r="AA50" s="122">
        <v>118.20477007704</v>
      </c>
      <c r="AB50" s="122">
        <v>0</v>
      </c>
      <c r="AC50" s="122">
        <v>0</v>
      </c>
      <c r="AD50" s="122">
        <v>0</v>
      </c>
      <c r="AE50" s="122">
        <v>18.528491704116799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161.525636542814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3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C02E-1CB5-4C6B-A5B3-9A09BD825986}">
  <dimension ref="B1:AT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24" t="s">
        <v>1077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spans="2:46" ht="12" customHeight="1" x14ac:dyDescent="0.3">
      <c r="L2" s="125" t="s">
        <v>396</v>
      </c>
      <c r="M2" s="125"/>
      <c r="N2" s="125"/>
      <c r="O2" s="125"/>
      <c r="P2" s="125"/>
      <c r="Q2" s="125"/>
      <c r="R2" s="125"/>
      <c r="S2" s="126"/>
      <c r="T2" s="125" t="s">
        <v>405</v>
      </c>
      <c r="U2" s="125"/>
      <c r="V2" s="125"/>
      <c r="W2" s="125"/>
      <c r="X2" s="125"/>
      <c r="Y2" s="125"/>
      <c r="Z2" s="126"/>
      <c r="AA2" s="127" t="s">
        <v>413</v>
      </c>
      <c r="AB2" s="125" t="s">
        <v>25</v>
      </c>
      <c r="AC2" s="125"/>
      <c r="AD2" s="126"/>
      <c r="AE2" s="125" t="s">
        <v>1076</v>
      </c>
      <c r="AF2" s="125"/>
      <c r="AG2" s="125"/>
      <c r="AH2" s="126"/>
      <c r="AI2" s="125" t="s">
        <v>396</v>
      </c>
      <c r="AJ2" s="125"/>
      <c r="AK2" s="125"/>
      <c r="AL2" s="125"/>
      <c r="AM2" s="126"/>
      <c r="AN2" s="127" t="s">
        <v>427</v>
      </c>
      <c r="AO2" s="125" t="s">
        <v>405</v>
      </c>
      <c r="AP2" s="125"/>
      <c r="AQ2" s="125"/>
      <c r="AR2" s="125"/>
      <c r="AS2" s="126"/>
      <c r="AT2" s="128" t="s">
        <v>1076</v>
      </c>
    </row>
    <row r="3" spans="2:46" ht="12" customHeight="1" x14ac:dyDescent="0.3">
      <c r="B3" s="115" t="s">
        <v>58</v>
      </c>
      <c r="C3" s="116" t="s">
        <v>59</v>
      </c>
      <c r="D3" s="116" t="s">
        <v>60</v>
      </c>
      <c r="E3" s="116" t="s">
        <v>61</v>
      </c>
      <c r="F3" s="116" t="s">
        <v>62</v>
      </c>
      <c r="G3" s="116" t="s">
        <v>64</v>
      </c>
      <c r="H3" s="116" t="s">
        <v>65</v>
      </c>
      <c r="I3" s="116" t="s">
        <v>673</v>
      </c>
      <c r="J3" s="116" t="s">
        <v>1038</v>
      </c>
      <c r="K3" s="116" t="s">
        <v>1039</v>
      </c>
      <c r="L3" s="116" t="s">
        <v>1040</v>
      </c>
      <c r="M3" s="116" t="s">
        <v>1041</v>
      </c>
      <c r="N3" s="116" t="s">
        <v>1042</v>
      </c>
      <c r="O3" s="116" t="s">
        <v>1043</v>
      </c>
      <c r="P3" s="116" t="s">
        <v>1044</v>
      </c>
      <c r="Q3" s="116" t="s">
        <v>1045</v>
      </c>
      <c r="R3" s="116" t="s">
        <v>1046</v>
      </c>
      <c r="S3" s="116" t="s">
        <v>1047</v>
      </c>
      <c r="T3" s="116" t="s">
        <v>1048</v>
      </c>
      <c r="U3" s="116" t="s">
        <v>1049</v>
      </c>
      <c r="V3" s="116" t="s">
        <v>1050</v>
      </c>
      <c r="W3" s="116" t="s">
        <v>1051</v>
      </c>
      <c r="X3" s="116" t="s">
        <v>1052</v>
      </c>
      <c r="Y3" s="116" t="s">
        <v>1053</v>
      </c>
      <c r="Z3" s="116" t="s">
        <v>1054</v>
      </c>
      <c r="AA3" s="116" t="s">
        <v>1055</v>
      </c>
      <c r="AB3" s="116" t="s">
        <v>1056</v>
      </c>
      <c r="AC3" s="116" t="s">
        <v>1057</v>
      </c>
      <c r="AD3" s="116" t="s">
        <v>1058</v>
      </c>
      <c r="AE3" s="116" t="s">
        <v>1059</v>
      </c>
      <c r="AF3" s="116" t="s">
        <v>1060</v>
      </c>
      <c r="AG3" s="116" t="s">
        <v>1061</v>
      </c>
      <c r="AH3" s="116" t="s">
        <v>1062</v>
      </c>
      <c r="AI3" s="116" t="s">
        <v>1063</v>
      </c>
      <c r="AJ3" s="116" t="s">
        <v>1064</v>
      </c>
      <c r="AK3" s="116" t="s">
        <v>1065</v>
      </c>
      <c r="AL3" s="116" t="s">
        <v>1066</v>
      </c>
      <c r="AM3" s="116" t="s">
        <v>1067</v>
      </c>
      <c r="AN3" s="116" t="s">
        <v>1068</v>
      </c>
      <c r="AO3" s="116" t="s">
        <v>1069</v>
      </c>
      <c r="AP3" s="116" t="s">
        <v>1070</v>
      </c>
      <c r="AQ3" s="116" t="s">
        <v>1071</v>
      </c>
      <c r="AR3" s="116" t="s">
        <v>1072</v>
      </c>
      <c r="AS3" s="116" t="s">
        <v>1073</v>
      </c>
      <c r="AT3" s="117" t="s">
        <v>1074</v>
      </c>
    </row>
    <row r="4" spans="2:46" ht="12" customHeight="1" x14ac:dyDescent="0.3">
      <c r="B4" s="118" t="s">
        <v>38</v>
      </c>
      <c r="C4" s="119" t="s">
        <v>73</v>
      </c>
      <c r="D4" s="119" t="s">
        <v>25</v>
      </c>
      <c r="E4" s="119" t="s">
        <v>25</v>
      </c>
      <c r="F4" s="119" t="s">
        <v>77</v>
      </c>
      <c r="G4" s="119" t="s">
        <v>40</v>
      </c>
      <c r="H4" s="119" t="s">
        <v>68</v>
      </c>
      <c r="I4" s="119" t="s">
        <v>25</v>
      </c>
      <c r="J4" s="119">
        <v>12.57</v>
      </c>
      <c r="K4" s="119">
        <v>0</v>
      </c>
      <c r="L4" s="119">
        <v>0</v>
      </c>
      <c r="M4" s="119">
        <v>1.48529294660636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>
        <v>0</v>
      </c>
      <c r="V4" s="119">
        <v>0</v>
      </c>
      <c r="W4" s="119">
        <v>0</v>
      </c>
      <c r="X4" s="119">
        <v>0</v>
      </c>
      <c r="Y4" s="119">
        <v>0</v>
      </c>
      <c r="Z4" s="119">
        <v>0</v>
      </c>
      <c r="AA4" s="119">
        <v>0</v>
      </c>
      <c r="AB4" s="119">
        <v>0</v>
      </c>
      <c r="AC4" s="119">
        <v>0</v>
      </c>
      <c r="AD4" s="119">
        <v>0</v>
      </c>
      <c r="AE4" s="119">
        <v>11.089150760357199</v>
      </c>
      <c r="AF4" s="119">
        <v>0</v>
      </c>
      <c r="AG4" s="119">
        <v>0</v>
      </c>
      <c r="AH4" s="119">
        <v>0</v>
      </c>
      <c r="AI4" s="119">
        <v>0</v>
      </c>
      <c r="AJ4" s="119">
        <v>0</v>
      </c>
      <c r="AK4" s="119">
        <v>0</v>
      </c>
      <c r="AL4" s="119">
        <v>0</v>
      </c>
      <c r="AM4" s="119">
        <v>0</v>
      </c>
      <c r="AN4" s="119">
        <v>0</v>
      </c>
      <c r="AO4" s="119">
        <v>0</v>
      </c>
      <c r="AP4" s="119">
        <v>0</v>
      </c>
      <c r="AQ4" s="119">
        <v>0</v>
      </c>
      <c r="AR4" s="119">
        <v>0</v>
      </c>
      <c r="AS4" s="119">
        <v>0</v>
      </c>
      <c r="AT4" s="120">
        <v>0</v>
      </c>
    </row>
    <row r="5" spans="2:46" ht="12" customHeight="1" x14ac:dyDescent="0.3">
      <c r="B5" s="118" t="s">
        <v>38</v>
      </c>
      <c r="C5" s="119" t="s">
        <v>73</v>
      </c>
      <c r="D5" s="119" t="s">
        <v>25</v>
      </c>
      <c r="E5" s="119" t="s">
        <v>25</v>
      </c>
      <c r="F5" s="119" t="s">
        <v>77</v>
      </c>
      <c r="G5" s="119" t="s">
        <v>40</v>
      </c>
      <c r="H5" s="119" t="s">
        <v>74</v>
      </c>
      <c r="I5" s="119" t="s">
        <v>25</v>
      </c>
      <c r="J5" s="119">
        <v>146.91999999999999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>
        <v>0</v>
      </c>
      <c r="X5" s="119">
        <v>32.727297011800502</v>
      </c>
      <c r="Y5" s="119">
        <v>0</v>
      </c>
      <c r="Z5" s="119">
        <v>0</v>
      </c>
      <c r="AA5" s="119">
        <v>114.19361070528301</v>
      </c>
      <c r="AB5" s="119">
        <v>0</v>
      </c>
      <c r="AC5" s="119">
        <v>0</v>
      </c>
      <c r="AD5" s="119">
        <v>0</v>
      </c>
      <c r="AE5" s="119">
        <v>0</v>
      </c>
      <c r="AF5" s="119">
        <v>0</v>
      </c>
      <c r="AG5" s="119">
        <v>0</v>
      </c>
      <c r="AH5" s="119">
        <v>0</v>
      </c>
      <c r="AI5" s="119">
        <v>0</v>
      </c>
      <c r="AJ5" s="119">
        <v>0</v>
      </c>
      <c r="AK5" s="119">
        <v>0</v>
      </c>
      <c r="AL5" s="119">
        <v>0</v>
      </c>
      <c r="AM5" s="119">
        <v>0</v>
      </c>
      <c r="AN5" s="119">
        <v>0</v>
      </c>
      <c r="AO5" s="119">
        <v>0</v>
      </c>
      <c r="AP5" s="119">
        <v>0</v>
      </c>
      <c r="AQ5" s="119">
        <v>0</v>
      </c>
      <c r="AR5" s="119">
        <v>0</v>
      </c>
      <c r="AS5" s="119">
        <v>0</v>
      </c>
      <c r="AT5" s="120">
        <v>0</v>
      </c>
    </row>
    <row r="6" spans="2:46" ht="12" customHeight="1" x14ac:dyDescent="0.3">
      <c r="B6" s="118" t="s">
        <v>38</v>
      </c>
      <c r="C6" s="119" t="s">
        <v>73</v>
      </c>
      <c r="D6" s="119" t="s">
        <v>25</v>
      </c>
      <c r="E6" s="119" t="s">
        <v>25</v>
      </c>
      <c r="F6" s="119" t="s">
        <v>77</v>
      </c>
      <c r="G6" s="119" t="s">
        <v>34</v>
      </c>
      <c r="H6" s="119" t="s">
        <v>68</v>
      </c>
      <c r="I6" s="119" t="s">
        <v>25</v>
      </c>
      <c r="J6" s="119">
        <v>12.57</v>
      </c>
      <c r="K6" s="119">
        <v>0</v>
      </c>
      <c r="L6" s="119">
        <v>0</v>
      </c>
      <c r="M6" s="119">
        <v>1.48529294660636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>
        <v>0</v>
      </c>
      <c r="X6" s="119">
        <v>0</v>
      </c>
      <c r="Y6" s="119">
        <v>0</v>
      </c>
      <c r="Z6" s="119">
        <v>0</v>
      </c>
      <c r="AA6" s="119">
        <v>0</v>
      </c>
      <c r="AB6" s="119">
        <v>0</v>
      </c>
      <c r="AC6" s="119">
        <v>0</v>
      </c>
      <c r="AD6" s="119">
        <v>0</v>
      </c>
      <c r="AE6" s="119">
        <v>11.089150760357199</v>
      </c>
      <c r="AF6" s="119">
        <v>0</v>
      </c>
      <c r="AG6" s="119">
        <v>0</v>
      </c>
      <c r="AH6" s="119">
        <v>0</v>
      </c>
      <c r="AI6" s="119">
        <v>0</v>
      </c>
      <c r="AJ6" s="119">
        <v>0</v>
      </c>
      <c r="AK6" s="119">
        <v>0</v>
      </c>
      <c r="AL6" s="119">
        <v>0</v>
      </c>
      <c r="AM6" s="119">
        <v>0</v>
      </c>
      <c r="AN6" s="119">
        <v>0</v>
      </c>
      <c r="AO6" s="119">
        <v>0</v>
      </c>
      <c r="AP6" s="119">
        <v>0</v>
      </c>
      <c r="AQ6" s="119">
        <v>0</v>
      </c>
      <c r="AR6" s="119">
        <v>0</v>
      </c>
      <c r="AS6" s="119">
        <v>0</v>
      </c>
      <c r="AT6" s="120">
        <v>0</v>
      </c>
    </row>
    <row r="7" spans="2:46" ht="12" customHeight="1" x14ac:dyDescent="0.3">
      <c r="B7" s="118" t="s">
        <v>38</v>
      </c>
      <c r="C7" s="119" t="s">
        <v>73</v>
      </c>
      <c r="D7" s="119" t="s">
        <v>25</v>
      </c>
      <c r="E7" s="119" t="s">
        <v>25</v>
      </c>
      <c r="F7" s="119" t="s">
        <v>77</v>
      </c>
      <c r="G7" s="119" t="s">
        <v>34</v>
      </c>
      <c r="H7" s="119" t="s">
        <v>74</v>
      </c>
      <c r="I7" s="119" t="s">
        <v>25</v>
      </c>
      <c r="J7" s="119">
        <v>43.8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>
        <v>0</v>
      </c>
      <c r="X7" s="119">
        <v>14.9113132667841</v>
      </c>
      <c r="Y7" s="119">
        <v>0</v>
      </c>
      <c r="Z7" s="119">
        <v>0</v>
      </c>
      <c r="AA7" s="119">
        <v>28.892097228913102</v>
      </c>
      <c r="AB7" s="119">
        <v>0</v>
      </c>
      <c r="AC7" s="119">
        <v>0</v>
      </c>
      <c r="AD7" s="119">
        <v>0</v>
      </c>
      <c r="AE7" s="119">
        <v>0</v>
      </c>
      <c r="AF7" s="119">
        <v>0</v>
      </c>
      <c r="AG7" s="119">
        <v>0</v>
      </c>
      <c r="AH7" s="119">
        <v>0</v>
      </c>
      <c r="AI7" s="119">
        <v>0</v>
      </c>
      <c r="AJ7" s="119">
        <v>0</v>
      </c>
      <c r="AK7" s="119">
        <v>0</v>
      </c>
      <c r="AL7" s="119">
        <v>0</v>
      </c>
      <c r="AM7" s="119">
        <v>0</v>
      </c>
      <c r="AN7" s="119">
        <v>0</v>
      </c>
      <c r="AO7" s="119">
        <v>0</v>
      </c>
      <c r="AP7" s="119">
        <v>0</v>
      </c>
      <c r="AQ7" s="119">
        <v>0</v>
      </c>
      <c r="AR7" s="119">
        <v>0</v>
      </c>
      <c r="AS7" s="119">
        <v>0</v>
      </c>
      <c r="AT7" s="120">
        <v>0</v>
      </c>
    </row>
    <row r="8" spans="2:46" ht="12" customHeight="1" x14ac:dyDescent="0.3">
      <c r="B8" s="118" t="s">
        <v>38</v>
      </c>
      <c r="C8" s="119" t="s">
        <v>73</v>
      </c>
      <c r="D8" s="119" t="s">
        <v>25</v>
      </c>
      <c r="E8" s="119" t="s">
        <v>25</v>
      </c>
      <c r="F8" s="119" t="s">
        <v>25</v>
      </c>
      <c r="G8" s="119" t="s">
        <v>40</v>
      </c>
      <c r="H8" s="119" t="s">
        <v>68</v>
      </c>
      <c r="I8" s="119" t="s">
        <v>25</v>
      </c>
      <c r="J8" s="119">
        <v>127.36</v>
      </c>
      <c r="K8" s="119">
        <v>274.93</v>
      </c>
      <c r="L8" s="119">
        <v>24.479201038670901</v>
      </c>
      <c r="M8" s="119">
        <v>1.48529294660636</v>
      </c>
      <c r="N8" s="119">
        <v>0</v>
      </c>
      <c r="O8" s="119">
        <v>0</v>
      </c>
      <c r="P8" s="119">
        <v>0</v>
      </c>
      <c r="Q8" s="119">
        <v>76.015743590652207</v>
      </c>
      <c r="R8" s="119">
        <v>14.291741353971799</v>
      </c>
      <c r="S8" s="119">
        <v>0</v>
      </c>
      <c r="T8" s="119">
        <v>0</v>
      </c>
      <c r="U8" s="119">
        <v>0</v>
      </c>
      <c r="V8" s="119">
        <v>0</v>
      </c>
      <c r="W8" s="119">
        <v>0</v>
      </c>
      <c r="X8" s="119">
        <v>0</v>
      </c>
      <c r="Y8" s="119">
        <v>0</v>
      </c>
      <c r="Z8" s="119">
        <v>0</v>
      </c>
      <c r="AA8" s="119">
        <v>0</v>
      </c>
      <c r="AB8" s="119">
        <v>0</v>
      </c>
      <c r="AC8" s="119">
        <v>0</v>
      </c>
      <c r="AD8" s="119">
        <v>0</v>
      </c>
      <c r="AE8" s="119">
        <v>11.089150760357199</v>
      </c>
      <c r="AF8" s="119">
        <v>0</v>
      </c>
      <c r="AG8" s="119">
        <v>0</v>
      </c>
      <c r="AH8" s="119">
        <v>0</v>
      </c>
      <c r="AI8" s="119">
        <v>0</v>
      </c>
      <c r="AJ8" s="119">
        <v>0</v>
      </c>
      <c r="AK8" s="119">
        <v>0</v>
      </c>
      <c r="AL8" s="119">
        <v>0</v>
      </c>
      <c r="AM8" s="119">
        <v>0</v>
      </c>
      <c r="AN8" s="119">
        <v>274.92811417175199</v>
      </c>
      <c r="AO8" s="119">
        <v>0</v>
      </c>
      <c r="AP8" s="119">
        <v>0</v>
      </c>
      <c r="AQ8" s="119">
        <v>0</v>
      </c>
      <c r="AR8" s="119">
        <v>0</v>
      </c>
      <c r="AS8" s="119">
        <v>0</v>
      </c>
      <c r="AT8" s="120">
        <v>0</v>
      </c>
    </row>
    <row r="9" spans="2:46" ht="12" customHeight="1" x14ac:dyDescent="0.3">
      <c r="B9" s="118" t="s">
        <v>38</v>
      </c>
      <c r="C9" s="119" t="s">
        <v>73</v>
      </c>
      <c r="D9" s="119" t="s">
        <v>25</v>
      </c>
      <c r="E9" s="119" t="s">
        <v>25</v>
      </c>
      <c r="F9" s="119" t="s">
        <v>25</v>
      </c>
      <c r="G9" s="119" t="s">
        <v>40</v>
      </c>
      <c r="H9" s="119" t="s">
        <v>74</v>
      </c>
      <c r="I9" s="119" t="s">
        <v>25</v>
      </c>
      <c r="J9" s="119">
        <v>146.91999999999999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>
        <v>0</v>
      </c>
      <c r="X9" s="119">
        <v>32.727297011800502</v>
      </c>
      <c r="Y9" s="119">
        <v>0</v>
      </c>
      <c r="Z9" s="119">
        <v>0</v>
      </c>
      <c r="AA9" s="119">
        <v>114.19361070528301</v>
      </c>
      <c r="AB9" s="119">
        <v>0</v>
      </c>
      <c r="AC9" s="119">
        <v>0</v>
      </c>
      <c r="AD9" s="119">
        <v>0</v>
      </c>
      <c r="AE9" s="119">
        <v>0</v>
      </c>
      <c r="AF9" s="119">
        <v>0</v>
      </c>
      <c r="AG9" s="119">
        <v>0</v>
      </c>
      <c r="AH9" s="119">
        <v>0</v>
      </c>
      <c r="AI9" s="119">
        <v>0</v>
      </c>
      <c r="AJ9" s="119">
        <v>0</v>
      </c>
      <c r="AK9" s="119">
        <v>0</v>
      </c>
      <c r="AL9" s="119">
        <v>0</v>
      </c>
      <c r="AM9" s="119">
        <v>0</v>
      </c>
      <c r="AN9" s="119">
        <v>0</v>
      </c>
      <c r="AO9" s="119">
        <v>0</v>
      </c>
      <c r="AP9" s="119">
        <v>0</v>
      </c>
      <c r="AQ9" s="119">
        <v>0</v>
      </c>
      <c r="AR9" s="119">
        <v>0</v>
      </c>
      <c r="AS9" s="119">
        <v>0</v>
      </c>
      <c r="AT9" s="120">
        <v>0</v>
      </c>
    </row>
    <row r="10" spans="2:46" ht="12" customHeight="1" x14ac:dyDescent="0.3">
      <c r="B10" s="118" t="s">
        <v>38</v>
      </c>
      <c r="C10" s="119" t="s">
        <v>73</v>
      </c>
      <c r="D10" s="119" t="s">
        <v>25</v>
      </c>
      <c r="E10" s="119" t="s">
        <v>25</v>
      </c>
      <c r="F10" s="119" t="s">
        <v>25</v>
      </c>
      <c r="G10" s="119" t="s">
        <v>34</v>
      </c>
      <c r="H10" s="119" t="s">
        <v>68</v>
      </c>
      <c r="I10" s="119" t="s">
        <v>25</v>
      </c>
      <c r="J10" s="119">
        <v>127.36</v>
      </c>
      <c r="K10" s="119">
        <v>274.93</v>
      </c>
      <c r="L10" s="119">
        <v>24.479201038670901</v>
      </c>
      <c r="M10" s="119">
        <v>1.48529294660636</v>
      </c>
      <c r="N10" s="119">
        <v>0</v>
      </c>
      <c r="O10" s="119">
        <v>0</v>
      </c>
      <c r="P10" s="119">
        <v>0</v>
      </c>
      <c r="Q10" s="119">
        <v>76.015743590652207</v>
      </c>
      <c r="R10" s="119">
        <v>14.291741353971799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  <c r="Y10" s="119">
        <v>0</v>
      </c>
      <c r="Z10" s="119">
        <v>0</v>
      </c>
      <c r="AA10" s="119">
        <v>0</v>
      </c>
      <c r="AB10" s="119">
        <v>0</v>
      </c>
      <c r="AC10" s="119">
        <v>0</v>
      </c>
      <c r="AD10" s="119">
        <v>0</v>
      </c>
      <c r="AE10" s="119">
        <v>11.089150760357199</v>
      </c>
      <c r="AF10" s="119">
        <v>0</v>
      </c>
      <c r="AG10" s="119">
        <v>0</v>
      </c>
      <c r="AH10" s="119">
        <v>0</v>
      </c>
      <c r="AI10" s="119">
        <v>0</v>
      </c>
      <c r="AJ10" s="119">
        <v>0</v>
      </c>
      <c r="AK10" s="119">
        <v>0</v>
      </c>
      <c r="AL10" s="119">
        <v>0</v>
      </c>
      <c r="AM10" s="119">
        <v>0</v>
      </c>
      <c r="AN10" s="119">
        <v>274.92811417175199</v>
      </c>
      <c r="AO10" s="119">
        <v>0</v>
      </c>
      <c r="AP10" s="119">
        <v>0</v>
      </c>
      <c r="AQ10" s="119">
        <v>0</v>
      </c>
      <c r="AR10" s="119">
        <v>0</v>
      </c>
      <c r="AS10" s="119">
        <v>0</v>
      </c>
      <c r="AT10" s="120">
        <v>0</v>
      </c>
    </row>
    <row r="11" spans="2:46" ht="12" customHeight="1" x14ac:dyDescent="0.3">
      <c r="B11" s="118" t="s">
        <v>38</v>
      </c>
      <c r="C11" s="119" t="s">
        <v>73</v>
      </c>
      <c r="D11" s="119" t="s">
        <v>25</v>
      </c>
      <c r="E11" s="119" t="s">
        <v>25</v>
      </c>
      <c r="F11" s="119" t="s">
        <v>25</v>
      </c>
      <c r="G11" s="119" t="s">
        <v>34</v>
      </c>
      <c r="H11" s="119" t="s">
        <v>74</v>
      </c>
      <c r="I11" s="119" t="s">
        <v>25</v>
      </c>
      <c r="J11" s="119">
        <v>43.8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>
        <v>0</v>
      </c>
      <c r="X11" s="119">
        <v>14.9113132667841</v>
      </c>
      <c r="Y11" s="119">
        <v>0</v>
      </c>
      <c r="Z11" s="119">
        <v>0</v>
      </c>
      <c r="AA11" s="119">
        <v>28.892097228913102</v>
      </c>
      <c r="AB11" s="119">
        <v>0</v>
      </c>
      <c r="AC11" s="119">
        <v>0</v>
      </c>
      <c r="AD11" s="119">
        <v>0</v>
      </c>
      <c r="AE11" s="119">
        <v>0</v>
      </c>
      <c r="AF11" s="119">
        <v>0</v>
      </c>
      <c r="AG11" s="119">
        <v>0</v>
      </c>
      <c r="AH11" s="119">
        <v>0</v>
      </c>
      <c r="AI11" s="119">
        <v>0</v>
      </c>
      <c r="AJ11" s="119">
        <v>0</v>
      </c>
      <c r="AK11" s="119">
        <v>0</v>
      </c>
      <c r="AL11" s="119">
        <v>0</v>
      </c>
      <c r="AM11" s="119">
        <v>0</v>
      </c>
      <c r="AN11" s="119">
        <v>0</v>
      </c>
      <c r="AO11" s="119">
        <v>0</v>
      </c>
      <c r="AP11" s="119">
        <v>0</v>
      </c>
      <c r="AQ11" s="119">
        <v>0</v>
      </c>
      <c r="AR11" s="119">
        <v>0</v>
      </c>
      <c r="AS11" s="119">
        <v>0</v>
      </c>
      <c r="AT11" s="120">
        <v>0</v>
      </c>
    </row>
    <row r="12" spans="2:46" ht="12" customHeight="1" x14ac:dyDescent="0.3">
      <c r="B12" s="118" t="s">
        <v>38</v>
      </c>
      <c r="C12" s="119" t="s">
        <v>23</v>
      </c>
      <c r="D12" s="119" t="s">
        <v>25</v>
      </c>
      <c r="E12" s="119" t="s">
        <v>25</v>
      </c>
      <c r="F12" s="119" t="s">
        <v>25</v>
      </c>
      <c r="G12" s="119" t="s">
        <v>25</v>
      </c>
      <c r="H12" s="119" t="s">
        <v>68</v>
      </c>
      <c r="I12" s="119" t="s">
        <v>25</v>
      </c>
      <c r="J12" s="119">
        <v>0</v>
      </c>
      <c r="K12" s="119">
        <v>274.93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19">
        <v>0</v>
      </c>
      <c r="AA12" s="119">
        <v>0</v>
      </c>
      <c r="AB12" s="119">
        <v>0</v>
      </c>
      <c r="AC12" s="119">
        <v>0</v>
      </c>
      <c r="AD12" s="119">
        <v>0</v>
      </c>
      <c r="AE12" s="119">
        <v>0</v>
      </c>
      <c r="AF12" s="119">
        <v>0</v>
      </c>
      <c r="AG12" s="119">
        <v>0</v>
      </c>
      <c r="AH12" s="119">
        <v>0</v>
      </c>
      <c r="AI12" s="119">
        <v>0</v>
      </c>
      <c r="AJ12" s="119">
        <v>0</v>
      </c>
      <c r="AK12" s="119">
        <v>0</v>
      </c>
      <c r="AL12" s="119">
        <v>0</v>
      </c>
      <c r="AM12" s="119">
        <v>0</v>
      </c>
      <c r="AN12" s="119">
        <v>274.92811417175199</v>
      </c>
      <c r="AO12" s="119">
        <v>0</v>
      </c>
      <c r="AP12" s="119">
        <v>0</v>
      </c>
      <c r="AQ12" s="119">
        <v>0</v>
      </c>
      <c r="AR12" s="119">
        <v>0</v>
      </c>
      <c r="AS12" s="119">
        <v>0</v>
      </c>
      <c r="AT12" s="120">
        <v>0</v>
      </c>
    </row>
    <row r="13" spans="2:46" ht="12" customHeight="1" x14ac:dyDescent="0.3">
      <c r="B13" s="118" t="s">
        <v>38</v>
      </c>
      <c r="C13" s="119" t="s">
        <v>78</v>
      </c>
      <c r="D13" s="119" t="s">
        <v>25</v>
      </c>
      <c r="E13" s="119" t="s">
        <v>25</v>
      </c>
      <c r="F13" s="119" t="s">
        <v>25</v>
      </c>
      <c r="G13" s="119" t="s">
        <v>25</v>
      </c>
      <c r="H13" s="119" t="s">
        <v>74</v>
      </c>
      <c r="I13" s="119" t="s">
        <v>25</v>
      </c>
      <c r="J13" s="119">
        <v>17.78</v>
      </c>
      <c r="K13" s="119">
        <v>0</v>
      </c>
      <c r="L13" s="119">
        <v>0</v>
      </c>
      <c r="M13" s="119">
        <v>3.1054806140415898E-2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19">
        <v>0</v>
      </c>
      <c r="AA13" s="119">
        <v>17.747880581877801</v>
      </c>
      <c r="AB13" s="119">
        <v>0</v>
      </c>
      <c r="AC13" s="119">
        <v>0</v>
      </c>
      <c r="AD13" s="119">
        <v>0</v>
      </c>
      <c r="AE13" s="119">
        <v>0</v>
      </c>
      <c r="AF13" s="119">
        <v>0</v>
      </c>
      <c r="AG13" s="119">
        <v>0</v>
      </c>
      <c r="AH13" s="119">
        <v>0</v>
      </c>
      <c r="AI13" s="119">
        <v>0</v>
      </c>
      <c r="AJ13" s="119">
        <v>0</v>
      </c>
      <c r="AK13" s="119">
        <v>0</v>
      </c>
      <c r="AL13" s="119">
        <v>0</v>
      </c>
      <c r="AM13" s="119">
        <v>0</v>
      </c>
      <c r="AN13" s="119">
        <v>0</v>
      </c>
      <c r="AO13" s="119">
        <v>0</v>
      </c>
      <c r="AP13" s="119">
        <v>0</v>
      </c>
      <c r="AQ13" s="119">
        <v>0</v>
      </c>
      <c r="AR13" s="119">
        <v>0</v>
      </c>
      <c r="AS13" s="119">
        <v>0</v>
      </c>
      <c r="AT13" s="120">
        <v>0</v>
      </c>
    </row>
    <row r="14" spans="2:46" ht="12" customHeight="1" x14ac:dyDescent="0.3">
      <c r="B14" s="118" t="s">
        <v>38</v>
      </c>
      <c r="C14" s="119" t="s">
        <v>39</v>
      </c>
      <c r="D14" s="119" t="s">
        <v>25</v>
      </c>
      <c r="E14" s="119" t="s">
        <v>25</v>
      </c>
      <c r="F14" s="119" t="s">
        <v>77</v>
      </c>
      <c r="G14" s="119" t="s">
        <v>40</v>
      </c>
      <c r="H14" s="119" t="s">
        <v>68</v>
      </c>
      <c r="I14" s="119" t="s">
        <v>25</v>
      </c>
      <c r="J14" s="119">
        <v>3546</v>
      </c>
      <c r="K14" s="119">
        <v>0</v>
      </c>
      <c r="L14" s="119">
        <v>0</v>
      </c>
      <c r="M14" s="119">
        <v>1.48529294660636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787.06060916669298</v>
      </c>
      <c r="Y14" s="119">
        <v>0</v>
      </c>
      <c r="Z14" s="119">
        <v>0</v>
      </c>
      <c r="AA14" s="119">
        <v>2746.3620593369601</v>
      </c>
      <c r="AB14" s="119">
        <v>0</v>
      </c>
      <c r="AC14" s="119">
        <v>0</v>
      </c>
      <c r="AD14" s="119">
        <v>0</v>
      </c>
      <c r="AE14" s="119">
        <v>11.089150760357199</v>
      </c>
      <c r="AF14" s="119">
        <v>0</v>
      </c>
      <c r="AG14" s="119">
        <v>0</v>
      </c>
      <c r="AH14" s="119">
        <v>0</v>
      </c>
      <c r="AI14" s="119">
        <v>0</v>
      </c>
      <c r="AJ14" s="119">
        <v>0</v>
      </c>
      <c r="AK14" s="119">
        <v>0</v>
      </c>
      <c r="AL14" s="119">
        <v>0</v>
      </c>
      <c r="AM14" s="119">
        <v>0</v>
      </c>
      <c r="AN14" s="119">
        <v>0</v>
      </c>
      <c r="AO14" s="119">
        <v>0</v>
      </c>
      <c r="AP14" s="119">
        <v>0</v>
      </c>
      <c r="AQ14" s="119">
        <v>0</v>
      </c>
      <c r="AR14" s="119">
        <v>0</v>
      </c>
      <c r="AS14" s="119">
        <v>0</v>
      </c>
      <c r="AT14" s="120">
        <v>0</v>
      </c>
    </row>
    <row r="15" spans="2:46" ht="12" customHeight="1" x14ac:dyDescent="0.3">
      <c r="B15" s="118" t="s">
        <v>38</v>
      </c>
      <c r="C15" s="119" t="s">
        <v>39</v>
      </c>
      <c r="D15" s="119" t="s">
        <v>25</v>
      </c>
      <c r="E15" s="119" t="s">
        <v>25</v>
      </c>
      <c r="F15" s="119" t="s">
        <v>77</v>
      </c>
      <c r="G15" s="119" t="s">
        <v>25</v>
      </c>
      <c r="H15" s="119" t="s">
        <v>74</v>
      </c>
      <c r="I15" s="119" t="s">
        <v>25</v>
      </c>
      <c r="J15" s="119">
        <v>43.8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14.9113132667841</v>
      </c>
      <c r="Y15" s="119">
        <v>0</v>
      </c>
      <c r="Z15" s="119">
        <v>0</v>
      </c>
      <c r="AA15" s="119">
        <v>28.892097228913102</v>
      </c>
      <c r="AB15" s="119">
        <v>0</v>
      </c>
      <c r="AC15" s="119">
        <v>0</v>
      </c>
      <c r="AD15" s="119">
        <v>0</v>
      </c>
      <c r="AE15" s="119">
        <v>0</v>
      </c>
      <c r="AF15" s="119">
        <v>0</v>
      </c>
      <c r="AG15" s="119">
        <v>0</v>
      </c>
      <c r="AH15" s="119">
        <v>0</v>
      </c>
      <c r="AI15" s="119">
        <v>0</v>
      </c>
      <c r="AJ15" s="119">
        <v>0</v>
      </c>
      <c r="AK15" s="119">
        <v>0</v>
      </c>
      <c r="AL15" s="119">
        <v>0</v>
      </c>
      <c r="AM15" s="119">
        <v>0</v>
      </c>
      <c r="AN15" s="119">
        <v>0</v>
      </c>
      <c r="AO15" s="119">
        <v>0</v>
      </c>
      <c r="AP15" s="119">
        <v>0</v>
      </c>
      <c r="AQ15" s="119">
        <v>0</v>
      </c>
      <c r="AR15" s="119">
        <v>0</v>
      </c>
      <c r="AS15" s="119">
        <v>0</v>
      </c>
      <c r="AT15" s="120">
        <v>0</v>
      </c>
    </row>
    <row r="16" spans="2:46" ht="12" customHeight="1" x14ac:dyDescent="0.3">
      <c r="B16" s="118" t="s">
        <v>38</v>
      </c>
      <c r="C16" s="119" t="s">
        <v>39</v>
      </c>
      <c r="D16" s="119" t="s">
        <v>25</v>
      </c>
      <c r="E16" s="119" t="s">
        <v>25</v>
      </c>
      <c r="F16" s="119" t="s">
        <v>77</v>
      </c>
      <c r="G16" s="119" t="s">
        <v>34</v>
      </c>
      <c r="H16" s="119" t="s">
        <v>68</v>
      </c>
      <c r="I16" s="119" t="s">
        <v>25</v>
      </c>
      <c r="J16" s="119">
        <v>12.57</v>
      </c>
      <c r="K16" s="119">
        <v>0</v>
      </c>
      <c r="L16" s="119">
        <v>0</v>
      </c>
      <c r="M16" s="119">
        <v>1.48529294660636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19">
        <v>0</v>
      </c>
      <c r="AA16" s="119">
        <v>0</v>
      </c>
      <c r="AB16" s="119">
        <v>0</v>
      </c>
      <c r="AC16" s="119">
        <v>0</v>
      </c>
      <c r="AD16" s="119">
        <v>0</v>
      </c>
      <c r="AE16" s="119">
        <v>11.089150760357199</v>
      </c>
      <c r="AF16" s="119">
        <v>0</v>
      </c>
      <c r="AG16" s="119">
        <v>0</v>
      </c>
      <c r="AH16" s="119">
        <v>0</v>
      </c>
      <c r="AI16" s="119">
        <v>0</v>
      </c>
      <c r="AJ16" s="119">
        <v>0</v>
      </c>
      <c r="AK16" s="119">
        <v>0</v>
      </c>
      <c r="AL16" s="119">
        <v>0</v>
      </c>
      <c r="AM16" s="119">
        <v>0</v>
      </c>
      <c r="AN16" s="119">
        <v>0</v>
      </c>
      <c r="AO16" s="119">
        <v>0</v>
      </c>
      <c r="AP16" s="119">
        <v>0</v>
      </c>
      <c r="AQ16" s="119">
        <v>0</v>
      </c>
      <c r="AR16" s="119">
        <v>0</v>
      </c>
      <c r="AS16" s="119">
        <v>0</v>
      </c>
      <c r="AT16" s="120">
        <v>0</v>
      </c>
    </row>
    <row r="17" spans="2:46" ht="12" customHeight="1" x14ac:dyDescent="0.3">
      <c r="B17" s="118" t="s">
        <v>38</v>
      </c>
      <c r="C17" s="119" t="s">
        <v>39</v>
      </c>
      <c r="D17" s="119" t="s">
        <v>25</v>
      </c>
      <c r="E17" s="119" t="s">
        <v>25</v>
      </c>
      <c r="F17" s="119" t="s">
        <v>25</v>
      </c>
      <c r="G17" s="119" t="s">
        <v>40</v>
      </c>
      <c r="H17" s="119" t="s">
        <v>68</v>
      </c>
      <c r="I17" s="119" t="s">
        <v>25</v>
      </c>
      <c r="J17" s="119">
        <v>3660.78</v>
      </c>
      <c r="K17" s="119">
        <v>274.93</v>
      </c>
      <c r="L17" s="119">
        <v>24.479201038670901</v>
      </c>
      <c r="M17" s="119">
        <v>1.48529294660636</v>
      </c>
      <c r="N17" s="119">
        <v>0</v>
      </c>
      <c r="O17" s="119">
        <v>0</v>
      </c>
      <c r="P17" s="119">
        <v>0</v>
      </c>
      <c r="Q17" s="119">
        <v>76.015743590652207</v>
      </c>
      <c r="R17" s="119">
        <v>14.291741353971799</v>
      </c>
      <c r="S17" s="119">
        <v>0</v>
      </c>
      <c r="T17" s="119">
        <v>0</v>
      </c>
      <c r="U17" s="119">
        <v>0</v>
      </c>
      <c r="V17" s="119">
        <v>0</v>
      </c>
      <c r="W17" s="119">
        <v>0</v>
      </c>
      <c r="X17" s="119">
        <v>787.06060916669298</v>
      </c>
      <c r="Y17" s="119">
        <v>0</v>
      </c>
      <c r="Z17" s="119">
        <v>0</v>
      </c>
      <c r="AA17" s="119">
        <v>2746.3620593369601</v>
      </c>
      <c r="AB17" s="119">
        <v>0</v>
      </c>
      <c r="AC17" s="119">
        <v>0</v>
      </c>
      <c r="AD17" s="119">
        <v>0</v>
      </c>
      <c r="AE17" s="119">
        <v>11.089150760357199</v>
      </c>
      <c r="AF17" s="119">
        <v>0</v>
      </c>
      <c r="AG17" s="119">
        <v>0</v>
      </c>
      <c r="AH17" s="119">
        <v>0</v>
      </c>
      <c r="AI17" s="119">
        <v>0</v>
      </c>
      <c r="AJ17" s="119">
        <v>0</v>
      </c>
      <c r="AK17" s="119">
        <v>0</v>
      </c>
      <c r="AL17" s="119">
        <v>0</v>
      </c>
      <c r="AM17" s="119">
        <v>0</v>
      </c>
      <c r="AN17" s="119">
        <v>274.92811417175199</v>
      </c>
      <c r="AO17" s="119">
        <v>0</v>
      </c>
      <c r="AP17" s="119">
        <v>0</v>
      </c>
      <c r="AQ17" s="119">
        <v>0</v>
      </c>
      <c r="AR17" s="119">
        <v>0</v>
      </c>
      <c r="AS17" s="119">
        <v>0</v>
      </c>
      <c r="AT17" s="120">
        <v>0</v>
      </c>
    </row>
    <row r="18" spans="2:46" ht="12" customHeight="1" x14ac:dyDescent="0.3">
      <c r="B18" s="118" t="s">
        <v>38</v>
      </c>
      <c r="C18" s="119" t="s">
        <v>39</v>
      </c>
      <c r="D18" s="119" t="s">
        <v>25</v>
      </c>
      <c r="E18" s="119" t="s">
        <v>25</v>
      </c>
      <c r="F18" s="119" t="s">
        <v>25</v>
      </c>
      <c r="G18" s="119" t="s">
        <v>25</v>
      </c>
      <c r="H18" s="119" t="s">
        <v>74</v>
      </c>
      <c r="I18" s="119" t="s">
        <v>25</v>
      </c>
      <c r="J18" s="119">
        <v>43.8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>
        <v>0</v>
      </c>
      <c r="X18" s="119">
        <v>14.9113132667841</v>
      </c>
      <c r="Y18" s="119">
        <v>0</v>
      </c>
      <c r="Z18" s="119">
        <v>0</v>
      </c>
      <c r="AA18" s="119">
        <v>28.892097228913102</v>
      </c>
      <c r="AB18" s="119">
        <v>0</v>
      </c>
      <c r="AC18" s="119">
        <v>0</v>
      </c>
      <c r="AD18" s="119">
        <v>0</v>
      </c>
      <c r="AE18" s="119">
        <v>0</v>
      </c>
      <c r="AF18" s="119">
        <v>0</v>
      </c>
      <c r="AG18" s="119">
        <v>0</v>
      </c>
      <c r="AH18" s="119">
        <v>0</v>
      </c>
      <c r="AI18" s="119">
        <v>0</v>
      </c>
      <c r="AJ18" s="119">
        <v>0</v>
      </c>
      <c r="AK18" s="119">
        <v>0</v>
      </c>
      <c r="AL18" s="119">
        <v>0</v>
      </c>
      <c r="AM18" s="119">
        <v>0</v>
      </c>
      <c r="AN18" s="119">
        <v>0</v>
      </c>
      <c r="AO18" s="119">
        <v>0</v>
      </c>
      <c r="AP18" s="119">
        <v>0</v>
      </c>
      <c r="AQ18" s="119">
        <v>0</v>
      </c>
      <c r="AR18" s="119">
        <v>0</v>
      </c>
      <c r="AS18" s="119">
        <v>0</v>
      </c>
      <c r="AT18" s="120">
        <v>0</v>
      </c>
    </row>
    <row r="19" spans="2:46" ht="12" customHeight="1" x14ac:dyDescent="0.3">
      <c r="B19" s="118" t="s">
        <v>38</v>
      </c>
      <c r="C19" s="119" t="s">
        <v>39</v>
      </c>
      <c r="D19" s="119" t="s">
        <v>25</v>
      </c>
      <c r="E19" s="119" t="s">
        <v>25</v>
      </c>
      <c r="F19" s="119" t="s">
        <v>25</v>
      </c>
      <c r="G19" s="119" t="s">
        <v>34</v>
      </c>
      <c r="H19" s="119" t="s">
        <v>68</v>
      </c>
      <c r="I19" s="119" t="s">
        <v>25</v>
      </c>
      <c r="J19" s="119">
        <v>127.36</v>
      </c>
      <c r="K19" s="119">
        <v>274.93</v>
      </c>
      <c r="L19" s="119">
        <v>24.479201038670901</v>
      </c>
      <c r="M19" s="119">
        <v>1.48529294660636</v>
      </c>
      <c r="N19" s="119">
        <v>0</v>
      </c>
      <c r="O19" s="119">
        <v>0</v>
      </c>
      <c r="P19" s="119">
        <v>0</v>
      </c>
      <c r="Q19" s="119">
        <v>76.015743590652207</v>
      </c>
      <c r="R19" s="119">
        <v>14.291741353971799</v>
      </c>
      <c r="S19" s="119">
        <v>0</v>
      </c>
      <c r="T19" s="119">
        <v>0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19">
        <v>0</v>
      </c>
      <c r="AA19" s="119">
        <v>0</v>
      </c>
      <c r="AB19" s="119">
        <v>0</v>
      </c>
      <c r="AC19" s="119">
        <v>0</v>
      </c>
      <c r="AD19" s="119">
        <v>0</v>
      </c>
      <c r="AE19" s="119">
        <v>11.089150760357199</v>
      </c>
      <c r="AF19" s="119">
        <v>0</v>
      </c>
      <c r="AG19" s="119">
        <v>0</v>
      </c>
      <c r="AH19" s="119">
        <v>0</v>
      </c>
      <c r="AI19" s="119">
        <v>0</v>
      </c>
      <c r="AJ19" s="119">
        <v>0</v>
      </c>
      <c r="AK19" s="119">
        <v>0</v>
      </c>
      <c r="AL19" s="119">
        <v>0</v>
      </c>
      <c r="AM19" s="119">
        <v>0</v>
      </c>
      <c r="AN19" s="119">
        <v>274.92811417175199</v>
      </c>
      <c r="AO19" s="119">
        <v>0</v>
      </c>
      <c r="AP19" s="119">
        <v>0</v>
      </c>
      <c r="AQ19" s="119">
        <v>0</v>
      </c>
      <c r="AR19" s="119">
        <v>0</v>
      </c>
      <c r="AS19" s="119">
        <v>0</v>
      </c>
      <c r="AT19" s="120">
        <v>0</v>
      </c>
    </row>
    <row r="20" spans="2:46" ht="12" customHeight="1" x14ac:dyDescent="0.3">
      <c r="B20" s="118" t="s">
        <v>79</v>
      </c>
      <c r="C20" s="119" t="s">
        <v>78</v>
      </c>
      <c r="D20" s="119" t="s">
        <v>25</v>
      </c>
      <c r="E20" s="119" t="s">
        <v>25</v>
      </c>
      <c r="F20" s="119" t="s">
        <v>80</v>
      </c>
      <c r="G20" s="119" t="s">
        <v>25</v>
      </c>
      <c r="H20" s="119" t="s">
        <v>74</v>
      </c>
      <c r="I20" s="119" t="s">
        <v>25</v>
      </c>
      <c r="J20" s="119">
        <v>4.32</v>
      </c>
      <c r="K20" s="119">
        <v>0</v>
      </c>
      <c r="L20" s="119">
        <v>0</v>
      </c>
      <c r="M20" s="119">
        <v>5.2600974570085604E-3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19">
        <v>0</v>
      </c>
      <c r="AA20" s="119">
        <v>4.3124867787781902</v>
      </c>
      <c r="AB20" s="119">
        <v>0</v>
      </c>
      <c r="AC20" s="119">
        <v>0</v>
      </c>
      <c r="AD20" s="119">
        <v>0</v>
      </c>
      <c r="AE20" s="119">
        <v>0</v>
      </c>
      <c r="AF20" s="119">
        <v>0</v>
      </c>
      <c r="AG20" s="119">
        <v>0</v>
      </c>
      <c r="AH20" s="119">
        <v>0</v>
      </c>
      <c r="AI20" s="119">
        <v>0</v>
      </c>
      <c r="AJ20" s="119">
        <v>0</v>
      </c>
      <c r="AK20" s="119">
        <v>0</v>
      </c>
      <c r="AL20" s="119">
        <v>0</v>
      </c>
      <c r="AM20" s="119">
        <v>0</v>
      </c>
      <c r="AN20" s="119">
        <v>0</v>
      </c>
      <c r="AO20" s="119">
        <v>0</v>
      </c>
      <c r="AP20" s="119">
        <v>0</v>
      </c>
      <c r="AQ20" s="119">
        <v>0</v>
      </c>
      <c r="AR20" s="119">
        <v>0</v>
      </c>
      <c r="AS20" s="119">
        <v>0</v>
      </c>
      <c r="AT20" s="120">
        <v>0</v>
      </c>
    </row>
    <row r="21" spans="2:46" ht="12" customHeight="1" x14ac:dyDescent="0.3">
      <c r="B21" s="118" t="s">
        <v>79</v>
      </c>
      <c r="C21" s="119" t="s">
        <v>78</v>
      </c>
      <c r="D21" s="119" t="s">
        <v>25</v>
      </c>
      <c r="E21" s="119" t="s">
        <v>25</v>
      </c>
      <c r="F21" s="119" t="s">
        <v>81</v>
      </c>
      <c r="G21" s="119" t="s">
        <v>25</v>
      </c>
      <c r="H21" s="119" t="s">
        <v>74</v>
      </c>
      <c r="I21" s="119" t="s">
        <v>25</v>
      </c>
      <c r="J21" s="119">
        <v>23.77</v>
      </c>
      <c r="K21" s="119">
        <v>0</v>
      </c>
      <c r="L21" s="119">
        <v>0</v>
      </c>
      <c r="M21" s="119">
        <v>5.2600974570085604E-3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19">
        <v>0</v>
      </c>
      <c r="AA21" s="119">
        <v>23.765063574822001</v>
      </c>
      <c r="AB21" s="119">
        <v>0</v>
      </c>
      <c r="AC21" s="119">
        <v>0</v>
      </c>
      <c r="AD21" s="119">
        <v>0</v>
      </c>
      <c r="AE21" s="119">
        <v>0</v>
      </c>
      <c r="AF21" s="119">
        <v>0</v>
      </c>
      <c r="AG21" s="119">
        <v>0</v>
      </c>
      <c r="AH21" s="119">
        <v>0</v>
      </c>
      <c r="AI21" s="119">
        <v>0</v>
      </c>
      <c r="AJ21" s="119">
        <v>0</v>
      </c>
      <c r="AK21" s="119">
        <v>0</v>
      </c>
      <c r="AL21" s="119">
        <v>0</v>
      </c>
      <c r="AM21" s="119">
        <v>0</v>
      </c>
      <c r="AN21" s="119">
        <v>0</v>
      </c>
      <c r="AO21" s="119">
        <v>0</v>
      </c>
      <c r="AP21" s="119">
        <v>0</v>
      </c>
      <c r="AQ21" s="119">
        <v>0</v>
      </c>
      <c r="AR21" s="119">
        <v>0</v>
      </c>
      <c r="AS21" s="119">
        <v>0</v>
      </c>
      <c r="AT21" s="120">
        <v>0</v>
      </c>
    </row>
    <row r="22" spans="2:46" ht="12" customHeight="1" x14ac:dyDescent="0.3">
      <c r="B22" s="118" t="s">
        <v>22</v>
      </c>
      <c r="C22" s="119" t="s">
        <v>33</v>
      </c>
      <c r="D22" s="119" t="s">
        <v>24</v>
      </c>
      <c r="E22" s="119" t="s">
        <v>24</v>
      </c>
      <c r="F22" s="119" t="s">
        <v>25</v>
      </c>
      <c r="G22" s="119" t="s">
        <v>40</v>
      </c>
      <c r="H22" s="119" t="s">
        <v>68</v>
      </c>
      <c r="I22" s="119" t="s">
        <v>25</v>
      </c>
      <c r="J22" s="119">
        <v>1494.06</v>
      </c>
      <c r="K22" s="119">
        <v>274.93</v>
      </c>
      <c r="L22" s="119">
        <v>29.141905998417698</v>
      </c>
      <c r="M22" s="119">
        <v>1.53731703750501</v>
      </c>
      <c r="N22" s="119">
        <v>0</v>
      </c>
      <c r="O22" s="119">
        <v>0</v>
      </c>
      <c r="P22" s="119">
        <v>0</v>
      </c>
      <c r="Q22" s="119">
        <v>90.494932846014507</v>
      </c>
      <c r="R22" s="119">
        <v>14.291741353971799</v>
      </c>
      <c r="S22" s="119">
        <v>0</v>
      </c>
      <c r="T22" s="119">
        <v>0</v>
      </c>
      <c r="U22" s="119">
        <v>0</v>
      </c>
      <c r="V22" s="119">
        <v>0</v>
      </c>
      <c r="W22" s="119">
        <v>0</v>
      </c>
      <c r="X22" s="119">
        <v>343.67411624998198</v>
      </c>
      <c r="Y22" s="119">
        <v>0</v>
      </c>
      <c r="Z22" s="119">
        <v>0</v>
      </c>
      <c r="AA22" s="119">
        <v>983.38479599734706</v>
      </c>
      <c r="AB22" s="119">
        <v>0</v>
      </c>
      <c r="AC22" s="119">
        <v>0</v>
      </c>
      <c r="AD22" s="119">
        <v>0</v>
      </c>
      <c r="AE22" s="119">
        <v>31.5368098321009</v>
      </c>
      <c r="AF22" s="119">
        <v>0</v>
      </c>
      <c r="AG22" s="119">
        <v>0</v>
      </c>
      <c r="AH22" s="119">
        <v>0</v>
      </c>
      <c r="AI22" s="119">
        <v>0</v>
      </c>
      <c r="AJ22" s="119">
        <v>0</v>
      </c>
      <c r="AK22" s="119">
        <v>0</v>
      </c>
      <c r="AL22" s="119">
        <v>0</v>
      </c>
      <c r="AM22" s="119">
        <v>0</v>
      </c>
      <c r="AN22" s="119">
        <v>274.92811417175199</v>
      </c>
      <c r="AO22" s="119">
        <v>0</v>
      </c>
      <c r="AP22" s="119">
        <v>0</v>
      </c>
      <c r="AQ22" s="119">
        <v>0</v>
      </c>
      <c r="AR22" s="119">
        <v>0</v>
      </c>
      <c r="AS22" s="119">
        <v>0</v>
      </c>
      <c r="AT22" s="120">
        <v>0</v>
      </c>
    </row>
    <row r="23" spans="2:46" ht="12" customHeight="1" x14ac:dyDescent="0.3">
      <c r="B23" s="118" t="s">
        <v>22</v>
      </c>
      <c r="C23" s="119" t="s">
        <v>33</v>
      </c>
      <c r="D23" s="119" t="s">
        <v>24</v>
      </c>
      <c r="E23" s="119" t="s">
        <v>24</v>
      </c>
      <c r="F23" s="119" t="s">
        <v>25</v>
      </c>
      <c r="G23" s="119" t="s">
        <v>35</v>
      </c>
      <c r="H23" s="119" t="s">
        <v>68</v>
      </c>
      <c r="I23" s="119" t="s">
        <v>25</v>
      </c>
      <c r="J23" s="119">
        <v>963.24</v>
      </c>
      <c r="K23" s="119">
        <v>274.93</v>
      </c>
      <c r="L23" s="119">
        <v>29.141905998417698</v>
      </c>
      <c r="M23" s="119">
        <v>1.53731703750501</v>
      </c>
      <c r="N23" s="119">
        <v>0</v>
      </c>
      <c r="O23" s="119">
        <v>0</v>
      </c>
      <c r="P23" s="119">
        <v>0</v>
      </c>
      <c r="Q23" s="119">
        <v>90.494932846014507</v>
      </c>
      <c r="R23" s="119">
        <v>14.291741353971799</v>
      </c>
      <c r="S23" s="119">
        <v>0</v>
      </c>
      <c r="T23" s="119">
        <v>0</v>
      </c>
      <c r="U23" s="119">
        <v>0</v>
      </c>
      <c r="V23" s="119">
        <v>0</v>
      </c>
      <c r="W23" s="119">
        <v>0</v>
      </c>
      <c r="X23" s="119">
        <v>206.20575607632</v>
      </c>
      <c r="Y23" s="119">
        <v>0</v>
      </c>
      <c r="Z23" s="119">
        <v>0</v>
      </c>
      <c r="AA23" s="119">
        <v>590.03093153595603</v>
      </c>
      <c r="AB23" s="119">
        <v>0</v>
      </c>
      <c r="AC23" s="119">
        <v>0</v>
      </c>
      <c r="AD23" s="119">
        <v>0</v>
      </c>
      <c r="AE23" s="119">
        <v>31.5368098321009</v>
      </c>
      <c r="AF23" s="119">
        <v>0</v>
      </c>
      <c r="AG23" s="119">
        <v>0</v>
      </c>
      <c r="AH23" s="119">
        <v>0</v>
      </c>
      <c r="AI23" s="119">
        <v>0</v>
      </c>
      <c r="AJ23" s="119">
        <v>0</v>
      </c>
      <c r="AK23" s="119">
        <v>0</v>
      </c>
      <c r="AL23" s="119">
        <v>0</v>
      </c>
      <c r="AM23" s="119">
        <v>0</v>
      </c>
      <c r="AN23" s="119">
        <v>274.92811417175199</v>
      </c>
      <c r="AO23" s="119">
        <v>0</v>
      </c>
      <c r="AP23" s="119">
        <v>0</v>
      </c>
      <c r="AQ23" s="119">
        <v>0</v>
      </c>
      <c r="AR23" s="119">
        <v>0</v>
      </c>
      <c r="AS23" s="119">
        <v>0</v>
      </c>
      <c r="AT23" s="120">
        <v>0</v>
      </c>
    </row>
    <row r="24" spans="2:46" ht="12" customHeight="1" x14ac:dyDescent="0.3">
      <c r="B24" s="118" t="s">
        <v>22</v>
      </c>
      <c r="C24" s="119" t="s">
        <v>33</v>
      </c>
      <c r="D24" s="119" t="s">
        <v>24</v>
      </c>
      <c r="E24" s="119" t="s">
        <v>24</v>
      </c>
      <c r="F24" s="119" t="s">
        <v>25</v>
      </c>
      <c r="G24" s="119" t="s">
        <v>34</v>
      </c>
      <c r="H24" s="119" t="s">
        <v>68</v>
      </c>
      <c r="I24" s="119" t="s">
        <v>25</v>
      </c>
      <c r="J24" s="119">
        <v>432.42</v>
      </c>
      <c r="K24" s="119">
        <v>274.93</v>
      </c>
      <c r="L24" s="119">
        <v>29.141905998417698</v>
      </c>
      <c r="M24" s="119">
        <v>1.53731703750501</v>
      </c>
      <c r="N24" s="119">
        <v>0</v>
      </c>
      <c r="O24" s="119">
        <v>0</v>
      </c>
      <c r="P24" s="119">
        <v>0</v>
      </c>
      <c r="Q24" s="119">
        <v>90.494932846014507</v>
      </c>
      <c r="R24" s="119">
        <v>14.291741353971799</v>
      </c>
      <c r="S24" s="119">
        <v>0</v>
      </c>
      <c r="T24" s="119">
        <v>0</v>
      </c>
      <c r="U24" s="119">
        <v>0</v>
      </c>
      <c r="V24" s="119">
        <v>0</v>
      </c>
      <c r="W24" s="119">
        <v>0</v>
      </c>
      <c r="X24" s="119">
        <v>68.737395902659202</v>
      </c>
      <c r="Y24" s="119">
        <v>0</v>
      </c>
      <c r="Z24" s="119">
        <v>0</v>
      </c>
      <c r="AA24" s="119">
        <v>196.67688728273799</v>
      </c>
      <c r="AB24" s="119">
        <v>0</v>
      </c>
      <c r="AC24" s="119">
        <v>0</v>
      </c>
      <c r="AD24" s="119">
        <v>0</v>
      </c>
      <c r="AE24" s="119">
        <v>31.5368098321009</v>
      </c>
      <c r="AF24" s="119">
        <v>0</v>
      </c>
      <c r="AG24" s="119">
        <v>0</v>
      </c>
      <c r="AH24" s="119">
        <v>0</v>
      </c>
      <c r="AI24" s="119">
        <v>0</v>
      </c>
      <c r="AJ24" s="119">
        <v>0</v>
      </c>
      <c r="AK24" s="119">
        <v>0</v>
      </c>
      <c r="AL24" s="119">
        <v>0</v>
      </c>
      <c r="AM24" s="119">
        <v>0</v>
      </c>
      <c r="AN24" s="119">
        <v>274.92811417175199</v>
      </c>
      <c r="AO24" s="119">
        <v>0</v>
      </c>
      <c r="AP24" s="119">
        <v>0</v>
      </c>
      <c r="AQ24" s="119">
        <v>0</v>
      </c>
      <c r="AR24" s="119">
        <v>0</v>
      </c>
      <c r="AS24" s="119">
        <v>0</v>
      </c>
      <c r="AT24" s="120">
        <v>0</v>
      </c>
    </row>
    <row r="25" spans="2:46" ht="12" customHeight="1" x14ac:dyDescent="0.3">
      <c r="B25" s="118" t="s">
        <v>22</v>
      </c>
      <c r="C25" s="119" t="s">
        <v>23</v>
      </c>
      <c r="D25" s="119" t="s">
        <v>24</v>
      </c>
      <c r="E25" s="119" t="s">
        <v>1075</v>
      </c>
      <c r="F25" s="119" t="s">
        <v>25</v>
      </c>
      <c r="G25" s="119" t="s">
        <v>25</v>
      </c>
      <c r="H25" s="119" t="s">
        <v>68</v>
      </c>
      <c r="I25" s="119" t="s">
        <v>25</v>
      </c>
      <c r="J25" s="119">
        <v>490.67</v>
      </c>
      <c r="K25" s="119">
        <v>274.93</v>
      </c>
      <c r="L25" s="119">
        <v>0</v>
      </c>
      <c r="M25" s="119">
        <v>1.53731703750501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>
        <v>0</v>
      </c>
      <c r="X25" s="119">
        <v>118.50232787741599</v>
      </c>
      <c r="Y25" s="119">
        <v>0</v>
      </c>
      <c r="Z25" s="119">
        <v>0</v>
      </c>
      <c r="AA25" s="119">
        <v>339.098174517735</v>
      </c>
      <c r="AB25" s="119">
        <v>0</v>
      </c>
      <c r="AC25" s="119">
        <v>0</v>
      </c>
      <c r="AD25" s="119">
        <v>0</v>
      </c>
      <c r="AE25" s="119">
        <v>31.5368098321009</v>
      </c>
      <c r="AF25" s="119">
        <v>0</v>
      </c>
      <c r="AG25" s="119">
        <v>0</v>
      </c>
      <c r="AH25" s="119">
        <v>0</v>
      </c>
      <c r="AI25" s="119">
        <v>0</v>
      </c>
      <c r="AJ25" s="119">
        <v>0</v>
      </c>
      <c r="AK25" s="119">
        <v>0</v>
      </c>
      <c r="AL25" s="119">
        <v>0</v>
      </c>
      <c r="AM25" s="119">
        <v>0</v>
      </c>
      <c r="AN25" s="119">
        <v>274.92811417175199</v>
      </c>
      <c r="AO25" s="119">
        <v>0</v>
      </c>
      <c r="AP25" s="119">
        <v>0</v>
      </c>
      <c r="AQ25" s="119">
        <v>0</v>
      </c>
      <c r="AR25" s="119">
        <v>0</v>
      </c>
      <c r="AS25" s="119">
        <v>0</v>
      </c>
      <c r="AT25" s="120">
        <v>0</v>
      </c>
    </row>
    <row r="26" spans="2:46" ht="12" customHeight="1" x14ac:dyDescent="0.3">
      <c r="B26" s="118" t="s">
        <v>22</v>
      </c>
      <c r="C26" s="119" t="s">
        <v>23</v>
      </c>
      <c r="D26" s="119" t="s">
        <v>24</v>
      </c>
      <c r="E26" s="119" t="s">
        <v>24</v>
      </c>
      <c r="F26" s="119" t="s">
        <v>25</v>
      </c>
      <c r="G26" s="119" t="s">
        <v>25</v>
      </c>
      <c r="H26" s="119" t="s">
        <v>68</v>
      </c>
      <c r="I26" s="119" t="s">
        <v>25</v>
      </c>
      <c r="J26" s="119">
        <v>624.6</v>
      </c>
      <c r="K26" s="119">
        <v>274.93</v>
      </c>
      <c r="L26" s="119">
        <v>29.141905998417698</v>
      </c>
      <c r="M26" s="119">
        <v>1.53731703750501</v>
      </c>
      <c r="N26" s="119">
        <v>0</v>
      </c>
      <c r="O26" s="119">
        <v>0</v>
      </c>
      <c r="P26" s="119">
        <v>0</v>
      </c>
      <c r="Q26" s="119">
        <v>90.494932846014507</v>
      </c>
      <c r="R26" s="119">
        <v>14.291741353971799</v>
      </c>
      <c r="S26" s="119">
        <v>0</v>
      </c>
      <c r="T26" s="119">
        <v>0</v>
      </c>
      <c r="U26" s="119">
        <v>0</v>
      </c>
      <c r="V26" s="119">
        <v>0</v>
      </c>
      <c r="W26" s="119">
        <v>0</v>
      </c>
      <c r="X26" s="119">
        <v>118.50232787741599</v>
      </c>
      <c r="Y26" s="119">
        <v>0</v>
      </c>
      <c r="Z26" s="119">
        <v>0</v>
      </c>
      <c r="AA26" s="119">
        <v>339.098174517735</v>
      </c>
      <c r="AB26" s="119">
        <v>0</v>
      </c>
      <c r="AC26" s="119">
        <v>0</v>
      </c>
      <c r="AD26" s="119">
        <v>0</v>
      </c>
      <c r="AE26" s="119">
        <v>31.5368098321009</v>
      </c>
      <c r="AF26" s="119">
        <v>0</v>
      </c>
      <c r="AG26" s="119">
        <v>0</v>
      </c>
      <c r="AH26" s="119">
        <v>0</v>
      </c>
      <c r="AI26" s="119">
        <v>0</v>
      </c>
      <c r="AJ26" s="119">
        <v>0</v>
      </c>
      <c r="AK26" s="119">
        <v>0</v>
      </c>
      <c r="AL26" s="119">
        <v>0</v>
      </c>
      <c r="AM26" s="119">
        <v>0</v>
      </c>
      <c r="AN26" s="119">
        <v>274.92811417175199</v>
      </c>
      <c r="AO26" s="119">
        <v>0</v>
      </c>
      <c r="AP26" s="119">
        <v>0</v>
      </c>
      <c r="AQ26" s="119">
        <v>0</v>
      </c>
      <c r="AR26" s="119">
        <v>0</v>
      </c>
      <c r="AS26" s="119">
        <v>0</v>
      </c>
      <c r="AT26" s="120">
        <v>0</v>
      </c>
    </row>
    <row r="27" spans="2:46" ht="12" customHeight="1" x14ac:dyDescent="0.3">
      <c r="B27" s="118" t="s">
        <v>22</v>
      </c>
      <c r="C27" s="119" t="s">
        <v>84</v>
      </c>
      <c r="D27" s="119" t="s">
        <v>24</v>
      </c>
      <c r="E27" s="119" t="s">
        <v>1075</v>
      </c>
      <c r="F27" s="119" t="s">
        <v>25</v>
      </c>
      <c r="G27" s="119" t="s">
        <v>25</v>
      </c>
      <c r="H27" s="119" t="s">
        <v>68</v>
      </c>
      <c r="I27" s="119" t="s">
        <v>25</v>
      </c>
      <c r="J27" s="119">
        <v>490.67</v>
      </c>
      <c r="K27" s="119">
        <v>274.93</v>
      </c>
      <c r="L27" s="119">
        <v>0</v>
      </c>
      <c r="M27" s="119">
        <v>1.53731703750501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>
        <v>0</v>
      </c>
      <c r="X27" s="119">
        <v>118.50232787741599</v>
      </c>
      <c r="Y27" s="119">
        <v>0</v>
      </c>
      <c r="Z27" s="119">
        <v>0</v>
      </c>
      <c r="AA27" s="119">
        <v>339.098174517735</v>
      </c>
      <c r="AB27" s="119">
        <v>0</v>
      </c>
      <c r="AC27" s="119">
        <v>0</v>
      </c>
      <c r="AD27" s="119">
        <v>0</v>
      </c>
      <c r="AE27" s="119">
        <v>31.5368098321009</v>
      </c>
      <c r="AF27" s="119">
        <v>0</v>
      </c>
      <c r="AG27" s="119">
        <v>0</v>
      </c>
      <c r="AH27" s="119">
        <v>0</v>
      </c>
      <c r="AI27" s="119">
        <v>0</v>
      </c>
      <c r="AJ27" s="119">
        <v>0</v>
      </c>
      <c r="AK27" s="119">
        <v>0</v>
      </c>
      <c r="AL27" s="119">
        <v>0</v>
      </c>
      <c r="AM27" s="119">
        <v>0</v>
      </c>
      <c r="AN27" s="119">
        <v>274.92811417175199</v>
      </c>
      <c r="AO27" s="119">
        <v>0</v>
      </c>
      <c r="AP27" s="119">
        <v>0</v>
      </c>
      <c r="AQ27" s="119">
        <v>0</v>
      </c>
      <c r="AR27" s="119">
        <v>0</v>
      </c>
      <c r="AS27" s="119">
        <v>0</v>
      </c>
      <c r="AT27" s="120">
        <v>0</v>
      </c>
    </row>
    <row r="28" spans="2:46" ht="12" customHeight="1" x14ac:dyDescent="0.3">
      <c r="B28" s="118" t="s">
        <v>22</v>
      </c>
      <c r="C28" s="119" t="s">
        <v>84</v>
      </c>
      <c r="D28" s="119" t="s">
        <v>24</v>
      </c>
      <c r="E28" s="119" t="s">
        <v>24</v>
      </c>
      <c r="F28" s="119" t="s">
        <v>25</v>
      </c>
      <c r="G28" s="119" t="s">
        <v>25</v>
      </c>
      <c r="H28" s="119" t="s">
        <v>68</v>
      </c>
      <c r="I28" s="119" t="s">
        <v>25</v>
      </c>
      <c r="J28" s="119">
        <v>624.6</v>
      </c>
      <c r="K28" s="119">
        <v>274.93</v>
      </c>
      <c r="L28" s="119">
        <v>29.141905998417698</v>
      </c>
      <c r="M28" s="119">
        <v>1.53731703750501</v>
      </c>
      <c r="N28" s="119">
        <v>0</v>
      </c>
      <c r="O28" s="119">
        <v>0</v>
      </c>
      <c r="P28" s="119">
        <v>0</v>
      </c>
      <c r="Q28" s="119">
        <v>90.494932846014507</v>
      </c>
      <c r="R28" s="119">
        <v>14.291741353971799</v>
      </c>
      <c r="S28" s="119">
        <v>0</v>
      </c>
      <c r="T28" s="119">
        <v>0</v>
      </c>
      <c r="U28" s="119">
        <v>0</v>
      </c>
      <c r="V28" s="119">
        <v>0</v>
      </c>
      <c r="W28" s="119">
        <v>0</v>
      </c>
      <c r="X28" s="119">
        <v>118.50232787741599</v>
      </c>
      <c r="Y28" s="119">
        <v>0</v>
      </c>
      <c r="Z28" s="119">
        <v>0</v>
      </c>
      <c r="AA28" s="119">
        <v>339.098174517735</v>
      </c>
      <c r="AB28" s="119">
        <v>0</v>
      </c>
      <c r="AC28" s="119">
        <v>0</v>
      </c>
      <c r="AD28" s="119">
        <v>0</v>
      </c>
      <c r="AE28" s="119">
        <v>31.5368098321009</v>
      </c>
      <c r="AF28" s="119">
        <v>0</v>
      </c>
      <c r="AG28" s="119">
        <v>0</v>
      </c>
      <c r="AH28" s="119">
        <v>0</v>
      </c>
      <c r="AI28" s="119">
        <v>0</v>
      </c>
      <c r="AJ28" s="119">
        <v>0</v>
      </c>
      <c r="AK28" s="119">
        <v>0</v>
      </c>
      <c r="AL28" s="119">
        <v>0</v>
      </c>
      <c r="AM28" s="119">
        <v>0</v>
      </c>
      <c r="AN28" s="119">
        <v>274.92811417175199</v>
      </c>
      <c r="AO28" s="119">
        <v>0</v>
      </c>
      <c r="AP28" s="119">
        <v>0</v>
      </c>
      <c r="AQ28" s="119">
        <v>0</v>
      </c>
      <c r="AR28" s="119">
        <v>0</v>
      </c>
      <c r="AS28" s="119">
        <v>0</v>
      </c>
      <c r="AT28" s="120">
        <v>0</v>
      </c>
    </row>
    <row r="29" spans="2:46" ht="12" customHeight="1" x14ac:dyDescent="0.3">
      <c r="B29" s="118" t="s">
        <v>41</v>
      </c>
      <c r="C29" s="119" t="s">
        <v>33</v>
      </c>
      <c r="D29" s="119" t="s">
        <v>42</v>
      </c>
      <c r="E29" s="119" t="s">
        <v>85</v>
      </c>
      <c r="F29" s="119" t="s">
        <v>25</v>
      </c>
      <c r="G29" s="119" t="s">
        <v>40</v>
      </c>
      <c r="H29" s="119" t="s">
        <v>68</v>
      </c>
      <c r="I29" s="119" t="s">
        <v>25</v>
      </c>
      <c r="J29" s="119">
        <v>1490.44</v>
      </c>
      <c r="K29" s="119">
        <v>258.43</v>
      </c>
      <c r="L29" s="119">
        <v>27.3933916385127</v>
      </c>
      <c r="M29" s="119">
        <v>1.44507801525471</v>
      </c>
      <c r="N29" s="119">
        <v>0</v>
      </c>
      <c r="O29" s="119">
        <v>0</v>
      </c>
      <c r="P29" s="119">
        <v>0</v>
      </c>
      <c r="Q29" s="119">
        <v>85.065236875253603</v>
      </c>
      <c r="R29" s="119">
        <v>13.4342368727335</v>
      </c>
      <c r="S29" s="119">
        <v>0</v>
      </c>
      <c r="T29" s="119">
        <v>0</v>
      </c>
      <c r="U29" s="119">
        <v>0</v>
      </c>
      <c r="V29" s="119">
        <v>0</v>
      </c>
      <c r="W29" s="119">
        <v>0</v>
      </c>
      <c r="X29" s="119">
        <v>345.32968862243399</v>
      </c>
      <c r="Y29" s="119">
        <v>0</v>
      </c>
      <c r="Z29" s="119">
        <v>0</v>
      </c>
      <c r="AA29" s="119">
        <v>988.132080544681</v>
      </c>
      <c r="AB29" s="119">
        <v>0</v>
      </c>
      <c r="AC29" s="119">
        <v>0</v>
      </c>
      <c r="AD29" s="119">
        <v>0</v>
      </c>
      <c r="AE29" s="119">
        <v>29.644601242174801</v>
      </c>
      <c r="AF29" s="119">
        <v>0</v>
      </c>
      <c r="AG29" s="119">
        <v>0</v>
      </c>
      <c r="AH29" s="119">
        <v>0</v>
      </c>
      <c r="AI29" s="119">
        <v>0</v>
      </c>
      <c r="AJ29" s="119">
        <v>0</v>
      </c>
      <c r="AK29" s="119">
        <v>0</v>
      </c>
      <c r="AL29" s="119">
        <v>0</v>
      </c>
      <c r="AM29" s="119">
        <v>0</v>
      </c>
      <c r="AN29" s="119">
        <v>258.43242732144699</v>
      </c>
      <c r="AO29" s="119">
        <v>0</v>
      </c>
      <c r="AP29" s="119">
        <v>0</v>
      </c>
      <c r="AQ29" s="119">
        <v>0</v>
      </c>
      <c r="AR29" s="119">
        <v>0</v>
      </c>
      <c r="AS29" s="119">
        <v>0</v>
      </c>
      <c r="AT29" s="120">
        <v>0</v>
      </c>
    </row>
    <row r="30" spans="2:46" ht="12" customHeight="1" x14ac:dyDescent="0.3">
      <c r="B30" s="118" t="s">
        <v>41</v>
      </c>
      <c r="C30" s="119" t="s">
        <v>33</v>
      </c>
      <c r="D30" s="119" t="s">
        <v>42</v>
      </c>
      <c r="E30" s="119" t="s">
        <v>85</v>
      </c>
      <c r="F30" s="119" t="s">
        <v>25</v>
      </c>
      <c r="G30" s="119" t="s">
        <v>35</v>
      </c>
      <c r="H30" s="119" t="s">
        <v>68</v>
      </c>
      <c r="I30" s="119" t="s">
        <v>25</v>
      </c>
      <c r="J30" s="119">
        <v>957.06</v>
      </c>
      <c r="K30" s="119">
        <v>258.43</v>
      </c>
      <c r="L30" s="119">
        <v>27.3933916385127</v>
      </c>
      <c r="M30" s="119">
        <v>1.44507801525471</v>
      </c>
      <c r="N30" s="119">
        <v>0</v>
      </c>
      <c r="O30" s="119">
        <v>0</v>
      </c>
      <c r="P30" s="119">
        <v>0</v>
      </c>
      <c r="Q30" s="119">
        <v>85.065236875253603</v>
      </c>
      <c r="R30" s="119">
        <v>13.4342368727335</v>
      </c>
      <c r="S30" s="119">
        <v>0</v>
      </c>
      <c r="T30" s="119">
        <v>0</v>
      </c>
      <c r="U30" s="119">
        <v>0</v>
      </c>
      <c r="V30" s="119">
        <v>0</v>
      </c>
      <c r="W30" s="119">
        <v>0</v>
      </c>
      <c r="X30" s="119">
        <v>207.20144061371499</v>
      </c>
      <c r="Y30" s="119">
        <v>0</v>
      </c>
      <c r="Z30" s="119">
        <v>0</v>
      </c>
      <c r="AA30" s="119">
        <v>592.87931592853602</v>
      </c>
      <c r="AB30" s="119">
        <v>0</v>
      </c>
      <c r="AC30" s="119">
        <v>0</v>
      </c>
      <c r="AD30" s="119">
        <v>0</v>
      </c>
      <c r="AE30" s="119">
        <v>29.644601242174801</v>
      </c>
      <c r="AF30" s="119">
        <v>0</v>
      </c>
      <c r="AG30" s="119">
        <v>0</v>
      </c>
      <c r="AH30" s="119">
        <v>0</v>
      </c>
      <c r="AI30" s="119">
        <v>0</v>
      </c>
      <c r="AJ30" s="119">
        <v>0</v>
      </c>
      <c r="AK30" s="119">
        <v>0</v>
      </c>
      <c r="AL30" s="119">
        <v>0</v>
      </c>
      <c r="AM30" s="119">
        <v>0</v>
      </c>
      <c r="AN30" s="119">
        <v>258.43242732144699</v>
      </c>
      <c r="AO30" s="119">
        <v>0</v>
      </c>
      <c r="AP30" s="119">
        <v>0</v>
      </c>
      <c r="AQ30" s="119">
        <v>0</v>
      </c>
      <c r="AR30" s="119">
        <v>0</v>
      </c>
      <c r="AS30" s="119">
        <v>0</v>
      </c>
      <c r="AT30" s="120">
        <v>0</v>
      </c>
    </row>
    <row r="31" spans="2:46" ht="12" customHeight="1" x14ac:dyDescent="0.3">
      <c r="B31" s="118" t="s">
        <v>41</v>
      </c>
      <c r="C31" s="119" t="s">
        <v>33</v>
      </c>
      <c r="D31" s="119" t="s">
        <v>42</v>
      </c>
      <c r="E31" s="119" t="s">
        <v>85</v>
      </c>
      <c r="F31" s="119" t="s">
        <v>25</v>
      </c>
      <c r="G31" s="119" t="s">
        <v>34</v>
      </c>
      <c r="H31" s="119" t="s">
        <v>68</v>
      </c>
      <c r="I31" s="119" t="s">
        <v>25</v>
      </c>
      <c r="J31" s="119">
        <v>423.68</v>
      </c>
      <c r="K31" s="119">
        <v>258.43</v>
      </c>
      <c r="L31" s="119">
        <v>27.3933916385127</v>
      </c>
      <c r="M31" s="119">
        <v>1.44507801525471</v>
      </c>
      <c r="N31" s="119">
        <v>0</v>
      </c>
      <c r="O31" s="119">
        <v>0</v>
      </c>
      <c r="P31" s="119">
        <v>0</v>
      </c>
      <c r="Q31" s="119">
        <v>85.065236875253603</v>
      </c>
      <c r="R31" s="119">
        <v>13.4342368727335</v>
      </c>
      <c r="S31" s="119">
        <v>0</v>
      </c>
      <c r="T31" s="119">
        <v>0</v>
      </c>
      <c r="U31" s="119">
        <v>0</v>
      </c>
      <c r="V31" s="119">
        <v>0</v>
      </c>
      <c r="W31" s="119">
        <v>0</v>
      </c>
      <c r="X31" s="119">
        <v>69.067146871238293</v>
      </c>
      <c r="Y31" s="119">
        <v>0</v>
      </c>
      <c r="Z31" s="119">
        <v>0</v>
      </c>
      <c r="AA31" s="119">
        <v>197.626382308073</v>
      </c>
      <c r="AB31" s="119">
        <v>0</v>
      </c>
      <c r="AC31" s="119">
        <v>0</v>
      </c>
      <c r="AD31" s="119">
        <v>0</v>
      </c>
      <c r="AE31" s="119">
        <v>29.644601242174801</v>
      </c>
      <c r="AF31" s="119">
        <v>0</v>
      </c>
      <c r="AG31" s="119">
        <v>0</v>
      </c>
      <c r="AH31" s="119">
        <v>0</v>
      </c>
      <c r="AI31" s="119">
        <v>0</v>
      </c>
      <c r="AJ31" s="119">
        <v>0</v>
      </c>
      <c r="AK31" s="119">
        <v>0</v>
      </c>
      <c r="AL31" s="119">
        <v>0</v>
      </c>
      <c r="AM31" s="119">
        <v>0</v>
      </c>
      <c r="AN31" s="119">
        <v>258.43242732144699</v>
      </c>
      <c r="AO31" s="119">
        <v>0</v>
      </c>
      <c r="AP31" s="119">
        <v>0</v>
      </c>
      <c r="AQ31" s="119">
        <v>0</v>
      </c>
      <c r="AR31" s="119">
        <v>0</v>
      </c>
      <c r="AS31" s="119">
        <v>0</v>
      </c>
      <c r="AT31" s="120">
        <v>0</v>
      </c>
    </row>
    <row r="32" spans="2:46" ht="12" customHeight="1" x14ac:dyDescent="0.3">
      <c r="B32" s="118" t="s">
        <v>41</v>
      </c>
      <c r="C32" s="119" t="s">
        <v>33</v>
      </c>
      <c r="D32" s="119" t="s">
        <v>42</v>
      </c>
      <c r="E32" s="119" t="s">
        <v>25</v>
      </c>
      <c r="F32" s="119" t="s">
        <v>25</v>
      </c>
      <c r="G32" s="119" t="s">
        <v>40</v>
      </c>
      <c r="H32" s="119" t="s">
        <v>68</v>
      </c>
      <c r="I32" s="119" t="s">
        <v>25</v>
      </c>
      <c r="J32" s="119">
        <v>1490.44</v>
      </c>
      <c r="K32" s="119">
        <v>258.43</v>
      </c>
      <c r="L32" s="119">
        <v>27.3933916385127</v>
      </c>
      <c r="M32" s="119">
        <v>1.44507801525471</v>
      </c>
      <c r="N32" s="119">
        <v>0</v>
      </c>
      <c r="O32" s="119">
        <v>0</v>
      </c>
      <c r="P32" s="119">
        <v>0</v>
      </c>
      <c r="Q32" s="119">
        <v>85.065236875253603</v>
      </c>
      <c r="R32" s="119">
        <v>13.4342368727335</v>
      </c>
      <c r="S32" s="119">
        <v>0</v>
      </c>
      <c r="T32" s="119">
        <v>0</v>
      </c>
      <c r="U32" s="119">
        <v>0</v>
      </c>
      <c r="V32" s="119">
        <v>0</v>
      </c>
      <c r="W32" s="119">
        <v>0</v>
      </c>
      <c r="X32" s="119">
        <v>345.32968862243399</v>
      </c>
      <c r="Y32" s="119">
        <v>0</v>
      </c>
      <c r="Z32" s="119">
        <v>0</v>
      </c>
      <c r="AA32" s="119">
        <v>988.132080544681</v>
      </c>
      <c r="AB32" s="119">
        <v>0</v>
      </c>
      <c r="AC32" s="119">
        <v>0</v>
      </c>
      <c r="AD32" s="119">
        <v>0</v>
      </c>
      <c r="AE32" s="119">
        <v>29.644601242174801</v>
      </c>
      <c r="AF32" s="119">
        <v>0</v>
      </c>
      <c r="AG32" s="119">
        <v>0</v>
      </c>
      <c r="AH32" s="119">
        <v>0</v>
      </c>
      <c r="AI32" s="119">
        <v>0</v>
      </c>
      <c r="AJ32" s="119">
        <v>0</v>
      </c>
      <c r="AK32" s="119">
        <v>0</v>
      </c>
      <c r="AL32" s="119">
        <v>0</v>
      </c>
      <c r="AM32" s="119">
        <v>0</v>
      </c>
      <c r="AN32" s="119">
        <v>258.43242732144699</v>
      </c>
      <c r="AO32" s="119">
        <v>0</v>
      </c>
      <c r="AP32" s="119">
        <v>0</v>
      </c>
      <c r="AQ32" s="119">
        <v>0</v>
      </c>
      <c r="AR32" s="119">
        <v>0</v>
      </c>
      <c r="AS32" s="119">
        <v>0</v>
      </c>
      <c r="AT32" s="120">
        <v>0</v>
      </c>
    </row>
    <row r="33" spans="2:46" ht="12" customHeight="1" x14ac:dyDescent="0.3">
      <c r="B33" s="118" t="s">
        <v>41</v>
      </c>
      <c r="C33" s="119" t="s">
        <v>33</v>
      </c>
      <c r="D33" s="119" t="s">
        <v>42</v>
      </c>
      <c r="E33" s="119" t="s">
        <v>25</v>
      </c>
      <c r="F33" s="119" t="s">
        <v>25</v>
      </c>
      <c r="G33" s="119" t="s">
        <v>35</v>
      </c>
      <c r="H33" s="119" t="s">
        <v>68</v>
      </c>
      <c r="I33" s="119" t="s">
        <v>25</v>
      </c>
      <c r="J33" s="119">
        <v>957.06</v>
      </c>
      <c r="K33" s="119">
        <v>258.43</v>
      </c>
      <c r="L33" s="119">
        <v>27.3933916385127</v>
      </c>
      <c r="M33" s="119">
        <v>1.44507801525471</v>
      </c>
      <c r="N33" s="119">
        <v>0</v>
      </c>
      <c r="O33" s="119">
        <v>0</v>
      </c>
      <c r="P33" s="119">
        <v>0</v>
      </c>
      <c r="Q33" s="119">
        <v>85.065236875253603</v>
      </c>
      <c r="R33" s="119">
        <v>13.4342368727335</v>
      </c>
      <c r="S33" s="119">
        <v>0</v>
      </c>
      <c r="T33" s="119">
        <v>0</v>
      </c>
      <c r="U33" s="119">
        <v>0</v>
      </c>
      <c r="V33" s="119">
        <v>0</v>
      </c>
      <c r="W33" s="119">
        <v>0</v>
      </c>
      <c r="X33" s="119">
        <v>207.20144061371499</v>
      </c>
      <c r="Y33" s="119">
        <v>0</v>
      </c>
      <c r="Z33" s="119">
        <v>0</v>
      </c>
      <c r="AA33" s="119">
        <v>592.87931592853602</v>
      </c>
      <c r="AB33" s="119">
        <v>0</v>
      </c>
      <c r="AC33" s="119">
        <v>0</v>
      </c>
      <c r="AD33" s="119">
        <v>0</v>
      </c>
      <c r="AE33" s="119">
        <v>29.644601242174801</v>
      </c>
      <c r="AF33" s="119">
        <v>0</v>
      </c>
      <c r="AG33" s="119">
        <v>0</v>
      </c>
      <c r="AH33" s="119">
        <v>0</v>
      </c>
      <c r="AI33" s="119">
        <v>0</v>
      </c>
      <c r="AJ33" s="119">
        <v>0</v>
      </c>
      <c r="AK33" s="119">
        <v>0</v>
      </c>
      <c r="AL33" s="119">
        <v>0</v>
      </c>
      <c r="AM33" s="119">
        <v>0</v>
      </c>
      <c r="AN33" s="119">
        <v>258.43242732144699</v>
      </c>
      <c r="AO33" s="119">
        <v>0</v>
      </c>
      <c r="AP33" s="119">
        <v>0</v>
      </c>
      <c r="AQ33" s="119">
        <v>0</v>
      </c>
      <c r="AR33" s="119">
        <v>0</v>
      </c>
      <c r="AS33" s="119">
        <v>0</v>
      </c>
      <c r="AT33" s="120">
        <v>0</v>
      </c>
    </row>
    <row r="34" spans="2:46" ht="12" customHeight="1" x14ac:dyDescent="0.3">
      <c r="B34" s="118" t="s">
        <v>41</v>
      </c>
      <c r="C34" s="119" t="s">
        <v>33</v>
      </c>
      <c r="D34" s="119" t="s">
        <v>42</v>
      </c>
      <c r="E34" s="119" t="s">
        <v>25</v>
      </c>
      <c r="F34" s="119" t="s">
        <v>25</v>
      </c>
      <c r="G34" s="119" t="s">
        <v>34</v>
      </c>
      <c r="H34" s="119" t="s">
        <v>68</v>
      </c>
      <c r="I34" s="119" t="s">
        <v>25</v>
      </c>
      <c r="J34" s="119">
        <v>423.68</v>
      </c>
      <c r="K34" s="119">
        <v>258.43</v>
      </c>
      <c r="L34" s="119">
        <v>27.3933916385127</v>
      </c>
      <c r="M34" s="119">
        <v>1.44507801525471</v>
      </c>
      <c r="N34" s="119">
        <v>0</v>
      </c>
      <c r="O34" s="119">
        <v>0</v>
      </c>
      <c r="P34" s="119">
        <v>0</v>
      </c>
      <c r="Q34" s="119">
        <v>85.065236875253603</v>
      </c>
      <c r="R34" s="119">
        <v>13.4342368727335</v>
      </c>
      <c r="S34" s="119">
        <v>0</v>
      </c>
      <c r="T34" s="119">
        <v>0</v>
      </c>
      <c r="U34" s="119">
        <v>0</v>
      </c>
      <c r="V34" s="119">
        <v>0</v>
      </c>
      <c r="W34" s="119">
        <v>0</v>
      </c>
      <c r="X34" s="119">
        <v>69.067146871238293</v>
      </c>
      <c r="Y34" s="119">
        <v>0</v>
      </c>
      <c r="Z34" s="119">
        <v>0</v>
      </c>
      <c r="AA34" s="119">
        <v>197.626382308073</v>
      </c>
      <c r="AB34" s="119">
        <v>0</v>
      </c>
      <c r="AC34" s="119">
        <v>0</v>
      </c>
      <c r="AD34" s="119">
        <v>0</v>
      </c>
      <c r="AE34" s="119">
        <v>29.644601242174801</v>
      </c>
      <c r="AF34" s="119">
        <v>0</v>
      </c>
      <c r="AG34" s="119">
        <v>0</v>
      </c>
      <c r="AH34" s="119">
        <v>0</v>
      </c>
      <c r="AI34" s="119">
        <v>0</v>
      </c>
      <c r="AJ34" s="119">
        <v>0</v>
      </c>
      <c r="AK34" s="119">
        <v>0</v>
      </c>
      <c r="AL34" s="119">
        <v>0</v>
      </c>
      <c r="AM34" s="119">
        <v>0</v>
      </c>
      <c r="AN34" s="119">
        <v>258.43242732144699</v>
      </c>
      <c r="AO34" s="119">
        <v>0</v>
      </c>
      <c r="AP34" s="119">
        <v>0</v>
      </c>
      <c r="AQ34" s="119">
        <v>0</v>
      </c>
      <c r="AR34" s="119">
        <v>0</v>
      </c>
      <c r="AS34" s="119">
        <v>0</v>
      </c>
      <c r="AT34" s="120">
        <v>0</v>
      </c>
    </row>
    <row r="35" spans="2:46" ht="12" customHeight="1" x14ac:dyDescent="0.3">
      <c r="B35" s="118" t="s">
        <v>41</v>
      </c>
      <c r="C35" s="119" t="s">
        <v>33</v>
      </c>
      <c r="D35" s="119" t="s">
        <v>42</v>
      </c>
      <c r="E35" s="119" t="s">
        <v>86</v>
      </c>
      <c r="F35" s="119" t="s">
        <v>25</v>
      </c>
      <c r="G35" s="119" t="s">
        <v>40</v>
      </c>
      <c r="H35" s="119" t="s">
        <v>68</v>
      </c>
      <c r="I35" s="119" t="s">
        <v>25</v>
      </c>
      <c r="J35" s="119">
        <v>1458.73</v>
      </c>
      <c r="K35" s="119">
        <v>252.93</v>
      </c>
      <c r="L35" s="119">
        <v>26.8105535185443</v>
      </c>
      <c r="M35" s="119">
        <v>1.4143316745046099</v>
      </c>
      <c r="N35" s="119">
        <v>0</v>
      </c>
      <c r="O35" s="119">
        <v>0</v>
      </c>
      <c r="P35" s="119">
        <v>0</v>
      </c>
      <c r="Q35" s="119">
        <v>83.255338218333407</v>
      </c>
      <c r="R35" s="119">
        <v>13.1484020456541</v>
      </c>
      <c r="S35" s="119">
        <v>0</v>
      </c>
      <c r="T35" s="119">
        <v>0</v>
      </c>
      <c r="U35" s="119">
        <v>0</v>
      </c>
      <c r="V35" s="119">
        <v>0</v>
      </c>
      <c r="W35" s="119">
        <v>0</v>
      </c>
      <c r="X35" s="119">
        <v>337.98224843897799</v>
      </c>
      <c r="Y35" s="119">
        <v>0</v>
      </c>
      <c r="Z35" s="119">
        <v>0</v>
      </c>
      <c r="AA35" s="119">
        <v>967.10799372458098</v>
      </c>
      <c r="AB35" s="119">
        <v>0</v>
      </c>
      <c r="AC35" s="119">
        <v>0</v>
      </c>
      <c r="AD35" s="119">
        <v>0</v>
      </c>
      <c r="AE35" s="119">
        <v>29.0138650455328</v>
      </c>
      <c r="AF35" s="119">
        <v>0</v>
      </c>
      <c r="AG35" s="119">
        <v>0</v>
      </c>
      <c r="AH35" s="119">
        <v>0</v>
      </c>
      <c r="AI35" s="119">
        <v>0</v>
      </c>
      <c r="AJ35" s="119">
        <v>0</v>
      </c>
      <c r="AK35" s="119">
        <v>0</v>
      </c>
      <c r="AL35" s="119">
        <v>0</v>
      </c>
      <c r="AM35" s="119">
        <v>0</v>
      </c>
      <c r="AN35" s="119">
        <v>252.93386503801199</v>
      </c>
      <c r="AO35" s="119">
        <v>0</v>
      </c>
      <c r="AP35" s="119">
        <v>0</v>
      </c>
      <c r="AQ35" s="119">
        <v>0</v>
      </c>
      <c r="AR35" s="119">
        <v>0</v>
      </c>
      <c r="AS35" s="119">
        <v>0</v>
      </c>
      <c r="AT35" s="120">
        <v>0</v>
      </c>
    </row>
    <row r="36" spans="2:46" ht="12" customHeight="1" x14ac:dyDescent="0.3">
      <c r="B36" s="118" t="s">
        <v>41</v>
      </c>
      <c r="C36" s="119" t="s">
        <v>33</v>
      </c>
      <c r="D36" s="119" t="s">
        <v>42</v>
      </c>
      <c r="E36" s="119" t="s">
        <v>86</v>
      </c>
      <c r="F36" s="119" t="s">
        <v>25</v>
      </c>
      <c r="G36" s="119" t="s">
        <v>35</v>
      </c>
      <c r="H36" s="119" t="s">
        <v>68</v>
      </c>
      <c r="I36" s="119" t="s">
        <v>25</v>
      </c>
      <c r="J36" s="119">
        <v>936.7</v>
      </c>
      <c r="K36" s="119">
        <v>252.93</v>
      </c>
      <c r="L36" s="119">
        <v>26.8105535185443</v>
      </c>
      <c r="M36" s="119">
        <v>1.4143316745046099</v>
      </c>
      <c r="N36" s="119">
        <v>0</v>
      </c>
      <c r="O36" s="119">
        <v>0</v>
      </c>
      <c r="P36" s="119">
        <v>0</v>
      </c>
      <c r="Q36" s="119">
        <v>83.255338218333407</v>
      </c>
      <c r="R36" s="119">
        <v>13.1484020456541</v>
      </c>
      <c r="S36" s="119">
        <v>0</v>
      </c>
      <c r="T36" s="119">
        <v>0</v>
      </c>
      <c r="U36" s="119">
        <v>0</v>
      </c>
      <c r="V36" s="119">
        <v>0</v>
      </c>
      <c r="W36" s="119">
        <v>0</v>
      </c>
      <c r="X36" s="119">
        <v>202.79289932406201</v>
      </c>
      <c r="Y36" s="119">
        <v>0</v>
      </c>
      <c r="Z36" s="119">
        <v>0</v>
      </c>
      <c r="AA36" s="119">
        <v>580.26486239814199</v>
      </c>
      <c r="AB36" s="119">
        <v>0</v>
      </c>
      <c r="AC36" s="119">
        <v>0</v>
      </c>
      <c r="AD36" s="119">
        <v>0</v>
      </c>
      <c r="AE36" s="119">
        <v>29.0138650455328</v>
      </c>
      <c r="AF36" s="119">
        <v>0</v>
      </c>
      <c r="AG36" s="119">
        <v>0</v>
      </c>
      <c r="AH36" s="119">
        <v>0</v>
      </c>
      <c r="AI36" s="119">
        <v>0</v>
      </c>
      <c r="AJ36" s="119">
        <v>0</v>
      </c>
      <c r="AK36" s="119">
        <v>0</v>
      </c>
      <c r="AL36" s="119">
        <v>0</v>
      </c>
      <c r="AM36" s="119">
        <v>0</v>
      </c>
      <c r="AN36" s="119">
        <v>252.93386503801199</v>
      </c>
      <c r="AO36" s="119">
        <v>0</v>
      </c>
      <c r="AP36" s="119">
        <v>0</v>
      </c>
      <c r="AQ36" s="119">
        <v>0</v>
      </c>
      <c r="AR36" s="119">
        <v>0</v>
      </c>
      <c r="AS36" s="119">
        <v>0</v>
      </c>
      <c r="AT36" s="120">
        <v>0</v>
      </c>
    </row>
    <row r="37" spans="2:46" ht="12" customHeight="1" x14ac:dyDescent="0.3">
      <c r="B37" s="118" t="s">
        <v>41</v>
      </c>
      <c r="C37" s="119" t="s">
        <v>33</v>
      </c>
      <c r="D37" s="119" t="s">
        <v>42</v>
      </c>
      <c r="E37" s="119" t="s">
        <v>86</v>
      </c>
      <c r="F37" s="119" t="s">
        <v>25</v>
      </c>
      <c r="G37" s="119" t="s">
        <v>34</v>
      </c>
      <c r="H37" s="119" t="s">
        <v>68</v>
      </c>
      <c r="I37" s="119" t="s">
        <v>25</v>
      </c>
      <c r="J37" s="119">
        <v>414.66</v>
      </c>
      <c r="K37" s="119">
        <v>252.93</v>
      </c>
      <c r="L37" s="119">
        <v>26.8105535185443</v>
      </c>
      <c r="M37" s="119">
        <v>1.4143316745046099</v>
      </c>
      <c r="N37" s="119">
        <v>0</v>
      </c>
      <c r="O37" s="119">
        <v>0</v>
      </c>
      <c r="P37" s="119">
        <v>0</v>
      </c>
      <c r="Q37" s="119">
        <v>83.255338218333407</v>
      </c>
      <c r="R37" s="119">
        <v>13.1484020456541</v>
      </c>
      <c r="S37" s="119">
        <v>0</v>
      </c>
      <c r="T37" s="119">
        <v>0</v>
      </c>
      <c r="U37" s="119">
        <v>0</v>
      </c>
      <c r="V37" s="119">
        <v>0</v>
      </c>
      <c r="W37" s="119">
        <v>0</v>
      </c>
      <c r="X37" s="119">
        <v>67.597633108020503</v>
      </c>
      <c r="Y37" s="119">
        <v>0</v>
      </c>
      <c r="Z37" s="119">
        <v>0</v>
      </c>
      <c r="AA37" s="119">
        <v>193.42156566322001</v>
      </c>
      <c r="AB37" s="119">
        <v>0</v>
      </c>
      <c r="AC37" s="119">
        <v>0</v>
      </c>
      <c r="AD37" s="119">
        <v>0</v>
      </c>
      <c r="AE37" s="119">
        <v>29.0138650455328</v>
      </c>
      <c r="AF37" s="119">
        <v>0</v>
      </c>
      <c r="AG37" s="119">
        <v>0</v>
      </c>
      <c r="AH37" s="119">
        <v>0</v>
      </c>
      <c r="AI37" s="119">
        <v>0</v>
      </c>
      <c r="AJ37" s="119">
        <v>0</v>
      </c>
      <c r="AK37" s="119">
        <v>0</v>
      </c>
      <c r="AL37" s="119">
        <v>0</v>
      </c>
      <c r="AM37" s="119">
        <v>0</v>
      </c>
      <c r="AN37" s="119">
        <v>252.93386503801199</v>
      </c>
      <c r="AO37" s="119">
        <v>0</v>
      </c>
      <c r="AP37" s="119">
        <v>0</v>
      </c>
      <c r="AQ37" s="119">
        <v>0</v>
      </c>
      <c r="AR37" s="119">
        <v>0</v>
      </c>
      <c r="AS37" s="119">
        <v>0</v>
      </c>
      <c r="AT37" s="120">
        <v>0</v>
      </c>
    </row>
    <row r="38" spans="2:46" ht="12" customHeight="1" x14ac:dyDescent="0.3">
      <c r="B38" s="118" t="s">
        <v>41</v>
      </c>
      <c r="C38" s="119" t="s">
        <v>23</v>
      </c>
      <c r="D38" s="119" t="s">
        <v>42</v>
      </c>
      <c r="E38" s="119" t="s">
        <v>85</v>
      </c>
      <c r="F38" s="119" t="s">
        <v>25</v>
      </c>
      <c r="G38" s="119" t="s">
        <v>25</v>
      </c>
      <c r="H38" s="119" t="s">
        <v>68</v>
      </c>
      <c r="I38" s="119" t="s">
        <v>25</v>
      </c>
      <c r="J38" s="119">
        <v>587.13</v>
      </c>
      <c r="K38" s="119">
        <v>258.43</v>
      </c>
      <c r="L38" s="119">
        <v>27.3933916385127</v>
      </c>
      <c r="M38" s="119">
        <v>1.44507801525471</v>
      </c>
      <c r="N38" s="119">
        <v>0</v>
      </c>
      <c r="O38" s="119">
        <v>0</v>
      </c>
      <c r="P38" s="119">
        <v>0</v>
      </c>
      <c r="Q38" s="119">
        <v>85.065236875253603</v>
      </c>
      <c r="R38" s="119">
        <v>13.4342368727335</v>
      </c>
      <c r="S38" s="119">
        <v>0</v>
      </c>
      <c r="T38" s="119">
        <v>0</v>
      </c>
      <c r="U38" s="119">
        <v>0</v>
      </c>
      <c r="V38" s="119">
        <v>0</v>
      </c>
      <c r="W38" s="119">
        <v>0</v>
      </c>
      <c r="X38" s="119">
        <v>111.392188204771</v>
      </c>
      <c r="Y38" s="119">
        <v>0</v>
      </c>
      <c r="Z38" s="119">
        <v>0</v>
      </c>
      <c r="AA38" s="119">
        <v>318.75228404667098</v>
      </c>
      <c r="AB38" s="119">
        <v>0</v>
      </c>
      <c r="AC38" s="119">
        <v>0</v>
      </c>
      <c r="AD38" s="119">
        <v>0</v>
      </c>
      <c r="AE38" s="119">
        <v>29.644601242174801</v>
      </c>
      <c r="AF38" s="119">
        <v>0</v>
      </c>
      <c r="AG38" s="119">
        <v>0</v>
      </c>
      <c r="AH38" s="119">
        <v>0</v>
      </c>
      <c r="AI38" s="119">
        <v>0</v>
      </c>
      <c r="AJ38" s="119">
        <v>0</v>
      </c>
      <c r="AK38" s="119">
        <v>0</v>
      </c>
      <c r="AL38" s="119">
        <v>0</v>
      </c>
      <c r="AM38" s="119">
        <v>0</v>
      </c>
      <c r="AN38" s="119">
        <v>258.43242732144699</v>
      </c>
      <c r="AO38" s="119">
        <v>0</v>
      </c>
      <c r="AP38" s="119">
        <v>0</v>
      </c>
      <c r="AQ38" s="119">
        <v>0</v>
      </c>
      <c r="AR38" s="119">
        <v>0</v>
      </c>
      <c r="AS38" s="119">
        <v>0</v>
      </c>
      <c r="AT38" s="120">
        <v>0</v>
      </c>
    </row>
    <row r="39" spans="2:46" ht="12" customHeight="1" x14ac:dyDescent="0.3">
      <c r="B39" s="118" t="s">
        <v>41</v>
      </c>
      <c r="C39" s="119" t="s">
        <v>23</v>
      </c>
      <c r="D39" s="119" t="s">
        <v>42</v>
      </c>
      <c r="E39" s="119" t="s">
        <v>25</v>
      </c>
      <c r="F39" s="119" t="s">
        <v>25</v>
      </c>
      <c r="G39" s="119" t="s">
        <v>25</v>
      </c>
      <c r="H39" s="119" t="s">
        <v>68</v>
      </c>
      <c r="I39" s="119" t="s">
        <v>25</v>
      </c>
      <c r="J39" s="119">
        <v>587.13</v>
      </c>
      <c r="K39" s="119">
        <v>258.43</v>
      </c>
      <c r="L39" s="119">
        <v>27.3933916385127</v>
      </c>
      <c r="M39" s="119">
        <v>1.44507801525471</v>
      </c>
      <c r="N39" s="119">
        <v>0</v>
      </c>
      <c r="O39" s="119">
        <v>0</v>
      </c>
      <c r="P39" s="119">
        <v>0</v>
      </c>
      <c r="Q39" s="119">
        <v>85.065236875253603</v>
      </c>
      <c r="R39" s="119">
        <v>13.4342368727335</v>
      </c>
      <c r="S39" s="119">
        <v>0</v>
      </c>
      <c r="T39" s="119">
        <v>0</v>
      </c>
      <c r="U39" s="119">
        <v>0</v>
      </c>
      <c r="V39" s="119">
        <v>0</v>
      </c>
      <c r="W39" s="119">
        <v>0</v>
      </c>
      <c r="X39" s="119">
        <v>111.392188204771</v>
      </c>
      <c r="Y39" s="119">
        <v>0</v>
      </c>
      <c r="Z39" s="119">
        <v>0</v>
      </c>
      <c r="AA39" s="119">
        <v>318.75228404667098</v>
      </c>
      <c r="AB39" s="119">
        <v>0</v>
      </c>
      <c r="AC39" s="119">
        <v>0</v>
      </c>
      <c r="AD39" s="119">
        <v>0</v>
      </c>
      <c r="AE39" s="119">
        <v>29.644601242174801</v>
      </c>
      <c r="AF39" s="119">
        <v>0</v>
      </c>
      <c r="AG39" s="119">
        <v>0</v>
      </c>
      <c r="AH39" s="119">
        <v>0</v>
      </c>
      <c r="AI39" s="119">
        <v>0</v>
      </c>
      <c r="AJ39" s="119">
        <v>0</v>
      </c>
      <c r="AK39" s="119">
        <v>0</v>
      </c>
      <c r="AL39" s="119">
        <v>0</v>
      </c>
      <c r="AM39" s="119">
        <v>0</v>
      </c>
      <c r="AN39" s="119">
        <v>258.43242732144699</v>
      </c>
      <c r="AO39" s="119">
        <v>0</v>
      </c>
      <c r="AP39" s="119">
        <v>0</v>
      </c>
      <c r="AQ39" s="119">
        <v>0</v>
      </c>
      <c r="AR39" s="119">
        <v>0</v>
      </c>
      <c r="AS39" s="119">
        <v>0</v>
      </c>
      <c r="AT39" s="120">
        <v>0</v>
      </c>
    </row>
    <row r="40" spans="2:46" ht="12" customHeight="1" x14ac:dyDescent="0.3">
      <c r="B40" s="118" t="s">
        <v>41</v>
      </c>
      <c r="C40" s="119" t="s">
        <v>23</v>
      </c>
      <c r="D40" s="119" t="s">
        <v>42</v>
      </c>
      <c r="E40" s="119" t="s">
        <v>86</v>
      </c>
      <c r="F40" s="119" t="s">
        <v>25</v>
      </c>
      <c r="G40" s="119" t="s">
        <v>25</v>
      </c>
      <c r="H40" s="119" t="s">
        <v>68</v>
      </c>
      <c r="I40" s="119" t="s">
        <v>25</v>
      </c>
      <c r="J40" s="119">
        <v>574.63</v>
      </c>
      <c r="K40" s="119">
        <v>252.93</v>
      </c>
      <c r="L40" s="119">
        <v>26.8105535185443</v>
      </c>
      <c r="M40" s="119">
        <v>1.4143316745046099</v>
      </c>
      <c r="N40" s="119">
        <v>0</v>
      </c>
      <c r="O40" s="119">
        <v>0</v>
      </c>
      <c r="P40" s="119">
        <v>0</v>
      </c>
      <c r="Q40" s="119">
        <v>83.255338218333407</v>
      </c>
      <c r="R40" s="119">
        <v>13.1484020456541</v>
      </c>
      <c r="S40" s="119">
        <v>0</v>
      </c>
      <c r="T40" s="119">
        <v>0</v>
      </c>
      <c r="U40" s="119">
        <v>0</v>
      </c>
      <c r="V40" s="119">
        <v>0</v>
      </c>
      <c r="W40" s="119">
        <v>0</v>
      </c>
      <c r="X40" s="119">
        <v>109.02214164722299</v>
      </c>
      <c r="Y40" s="119">
        <v>0</v>
      </c>
      <c r="Z40" s="119">
        <v>0</v>
      </c>
      <c r="AA40" s="119">
        <v>311.97032055631701</v>
      </c>
      <c r="AB40" s="119">
        <v>0</v>
      </c>
      <c r="AC40" s="119">
        <v>0</v>
      </c>
      <c r="AD40" s="119">
        <v>0</v>
      </c>
      <c r="AE40" s="119">
        <v>29.0138650455328</v>
      </c>
      <c r="AF40" s="119">
        <v>0</v>
      </c>
      <c r="AG40" s="119">
        <v>0</v>
      </c>
      <c r="AH40" s="119">
        <v>0</v>
      </c>
      <c r="AI40" s="119">
        <v>0</v>
      </c>
      <c r="AJ40" s="119">
        <v>0</v>
      </c>
      <c r="AK40" s="119">
        <v>0</v>
      </c>
      <c r="AL40" s="119">
        <v>0</v>
      </c>
      <c r="AM40" s="119">
        <v>0</v>
      </c>
      <c r="AN40" s="119">
        <v>252.93386503801199</v>
      </c>
      <c r="AO40" s="119">
        <v>0</v>
      </c>
      <c r="AP40" s="119">
        <v>0</v>
      </c>
      <c r="AQ40" s="119">
        <v>0</v>
      </c>
      <c r="AR40" s="119">
        <v>0</v>
      </c>
      <c r="AS40" s="119">
        <v>0</v>
      </c>
      <c r="AT40" s="120">
        <v>0</v>
      </c>
    </row>
    <row r="41" spans="2:46" ht="12" customHeight="1" x14ac:dyDescent="0.3">
      <c r="B41" s="118" t="s">
        <v>41</v>
      </c>
      <c r="C41" s="119" t="s">
        <v>84</v>
      </c>
      <c r="D41" s="119" t="s">
        <v>42</v>
      </c>
      <c r="E41" s="119" t="s">
        <v>85</v>
      </c>
      <c r="F41" s="119" t="s">
        <v>25</v>
      </c>
      <c r="G41" s="119" t="s">
        <v>25</v>
      </c>
      <c r="H41" s="119" t="s">
        <v>68</v>
      </c>
      <c r="I41" s="119" t="s">
        <v>25</v>
      </c>
      <c r="J41" s="119">
        <v>587.13</v>
      </c>
      <c r="K41" s="119">
        <v>258.43</v>
      </c>
      <c r="L41" s="119">
        <v>27.3933916385127</v>
      </c>
      <c r="M41" s="119">
        <v>1.44507801525471</v>
      </c>
      <c r="N41" s="119">
        <v>0</v>
      </c>
      <c r="O41" s="119">
        <v>0</v>
      </c>
      <c r="P41" s="119">
        <v>0</v>
      </c>
      <c r="Q41" s="119">
        <v>85.065236875253603</v>
      </c>
      <c r="R41" s="119">
        <v>13.4342368727335</v>
      </c>
      <c r="S41" s="119">
        <v>0</v>
      </c>
      <c r="T41" s="119">
        <v>0</v>
      </c>
      <c r="U41" s="119">
        <v>0</v>
      </c>
      <c r="V41" s="119">
        <v>0</v>
      </c>
      <c r="W41" s="119">
        <v>0</v>
      </c>
      <c r="X41" s="119">
        <v>111.392188204771</v>
      </c>
      <c r="Y41" s="119">
        <v>0</v>
      </c>
      <c r="Z41" s="119">
        <v>0</v>
      </c>
      <c r="AA41" s="119">
        <v>318.75228404667098</v>
      </c>
      <c r="AB41" s="119">
        <v>0</v>
      </c>
      <c r="AC41" s="119">
        <v>0</v>
      </c>
      <c r="AD41" s="119">
        <v>0</v>
      </c>
      <c r="AE41" s="119">
        <v>29.644601242174801</v>
      </c>
      <c r="AF41" s="119">
        <v>0</v>
      </c>
      <c r="AG41" s="119">
        <v>0</v>
      </c>
      <c r="AH41" s="119">
        <v>0</v>
      </c>
      <c r="AI41" s="119">
        <v>0</v>
      </c>
      <c r="AJ41" s="119">
        <v>0</v>
      </c>
      <c r="AK41" s="119">
        <v>0</v>
      </c>
      <c r="AL41" s="119">
        <v>0</v>
      </c>
      <c r="AM41" s="119">
        <v>0</v>
      </c>
      <c r="AN41" s="119">
        <v>258.43242732144699</v>
      </c>
      <c r="AO41" s="119">
        <v>0</v>
      </c>
      <c r="AP41" s="119">
        <v>0</v>
      </c>
      <c r="AQ41" s="119">
        <v>0</v>
      </c>
      <c r="AR41" s="119">
        <v>0</v>
      </c>
      <c r="AS41" s="119">
        <v>0</v>
      </c>
      <c r="AT41" s="120">
        <v>0</v>
      </c>
    </row>
    <row r="42" spans="2:46" ht="12" customHeight="1" x14ac:dyDescent="0.3">
      <c r="B42" s="118" t="s">
        <v>41</v>
      </c>
      <c r="C42" s="119" t="s">
        <v>84</v>
      </c>
      <c r="D42" s="119" t="s">
        <v>42</v>
      </c>
      <c r="E42" s="119" t="s">
        <v>25</v>
      </c>
      <c r="F42" s="119" t="s">
        <v>25</v>
      </c>
      <c r="G42" s="119" t="s">
        <v>25</v>
      </c>
      <c r="H42" s="119" t="s">
        <v>68</v>
      </c>
      <c r="I42" s="119" t="s">
        <v>25</v>
      </c>
      <c r="J42" s="119">
        <v>587.13</v>
      </c>
      <c r="K42" s="119">
        <v>258.43</v>
      </c>
      <c r="L42" s="119">
        <v>27.3933916385127</v>
      </c>
      <c r="M42" s="119">
        <v>1.44507801525471</v>
      </c>
      <c r="N42" s="119">
        <v>0</v>
      </c>
      <c r="O42" s="119">
        <v>0</v>
      </c>
      <c r="P42" s="119">
        <v>0</v>
      </c>
      <c r="Q42" s="119">
        <v>85.065236875253603</v>
      </c>
      <c r="R42" s="119">
        <v>13.4342368727335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111.392188204771</v>
      </c>
      <c r="Y42" s="119">
        <v>0</v>
      </c>
      <c r="Z42" s="119">
        <v>0</v>
      </c>
      <c r="AA42" s="119">
        <v>318.75228404667098</v>
      </c>
      <c r="AB42" s="119">
        <v>0</v>
      </c>
      <c r="AC42" s="119">
        <v>0</v>
      </c>
      <c r="AD42" s="119">
        <v>0</v>
      </c>
      <c r="AE42" s="119">
        <v>29.644601242174801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258.43242732144699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20">
        <v>0</v>
      </c>
    </row>
    <row r="43" spans="2:46" ht="12" customHeight="1" x14ac:dyDescent="0.3">
      <c r="B43" s="118" t="s">
        <v>41</v>
      </c>
      <c r="C43" s="119" t="s">
        <v>84</v>
      </c>
      <c r="D43" s="119" t="s">
        <v>42</v>
      </c>
      <c r="E43" s="119" t="s">
        <v>86</v>
      </c>
      <c r="F43" s="119" t="s">
        <v>25</v>
      </c>
      <c r="G43" s="119" t="s">
        <v>25</v>
      </c>
      <c r="H43" s="119" t="s">
        <v>68</v>
      </c>
      <c r="I43" s="119" t="s">
        <v>25</v>
      </c>
      <c r="J43" s="119">
        <v>574.63</v>
      </c>
      <c r="K43" s="119">
        <v>252.93</v>
      </c>
      <c r="L43" s="119">
        <v>26.8105535185443</v>
      </c>
      <c r="M43" s="119">
        <v>1.4143316745046099</v>
      </c>
      <c r="N43" s="119">
        <v>0</v>
      </c>
      <c r="O43" s="119">
        <v>0</v>
      </c>
      <c r="P43" s="119">
        <v>0</v>
      </c>
      <c r="Q43" s="119">
        <v>83.255338218333407</v>
      </c>
      <c r="R43" s="119">
        <v>13.1484020456541</v>
      </c>
      <c r="S43" s="119">
        <v>0</v>
      </c>
      <c r="T43" s="119">
        <v>0</v>
      </c>
      <c r="U43" s="119">
        <v>0</v>
      </c>
      <c r="V43" s="119">
        <v>0</v>
      </c>
      <c r="W43" s="119">
        <v>0</v>
      </c>
      <c r="X43" s="119">
        <v>109.02214164722299</v>
      </c>
      <c r="Y43" s="119">
        <v>0</v>
      </c>
      <c r="Z43" s="119">
        <v>0</v>
      </c>
      <c r="AA43" s="119">
        <v>311.97032055631701</v>
      </c>
      <c r="AB43" s="119">
        <v>0</v>
      </c>
      <c r="AC43" s="119">
        <v>0</v>
      </c>
      <c r="AD43" s="119">
        <v>0</v>
      </c>
      <c r="AE43" s="119">
        <v>29.0138650455328</v>
      </c>
      <c r="AF43" s="119">
        <v>0</v>
      </c>
      <c r="AG43" s="119">
        <v>0</v>
      </c>
      <c r="AH43" s="119">
        <v>0</v>
      </c>
      <c r="AI43" s="119">
        <v>0</v>
      </c>
      <c r="AJ43" s="119">
        <v>0</v>
      </c>
      <c r="AK43" s="119">
        <v>0</v>
      </c>
      <c r="AL43" s="119">
        <v>0</v>
      </c>
      <c r="AM43" s="119">
        <v>0</v>
      </c>
      <c r="AN43" s="119">
        <v>252.93386503801199</v>
      </c>
      <c r="AO43" s="119">
        <v>0</v>
      </c>
      <c r="AP43" s="119">
        <v>0</v>
      </c>
      <c r="AQ43" s="119">
        <v>0</v>
      </c>
      <c r="AR43" s="119">
        <v>0</v>
      </c>
      <c r="AS43" s="119">
        <v>0</v>
      </c>
      <c r="AT43" s="120">
        <v>0</v>
      </c>
    </row>
    <row r="44" spans="2:46" ht="12" customHeight="1" x14ac:dyDescent="0.3">
      <c r="B44" s="118" t="s">
        <v>36</v>
      </c>
      <c r="C44" s="119" t="s">
        <v>33</v>
      </c>
      <c r="D44" s="119" t="s">
        <v>25</v>
      </c>
      <c r="E44" s="119" t="s">
        <v>25</v>
      </c>
      <c r="F44" s="119" t="s">
        <v>25</v>
      </c>
      <c r="G44" s="119" t="s">
        <v>40</v>
      </c>
      <c r="H44" s="119" t="s">
        <v>68</v>
      </c>
      <c r="I44" s="119" t="s">
        <v>25</v>
      </c>
      <c r="J44" s="119">
        <v>1631.33</v>
      </c>
      <c r="K44" s="119">
        <v>274.93</v>
      </c>
      <c r="L44" s="119">
        <v>29.141905998417698</v>
      </c>
      <c r="M44" s="119">
        <v>1.53731703750501</v>
      </c>
      <c r="N44" s="119">
        <v>0</v>
      </c>
      <c r="O44" s="119">
        <v>0</v>
      </c>
      <c r="P44" s="119">
        <v>0</v>
      </c>
      <c r="Q44" s="119">
        <v>90.494932846014507</v>
      </c>
      <c r="R44" s="119">
        <v>14.291741353971799</v>
      </c>
      <c r="S44" s="119">
        <v>0</v>
      </c>
      <c r="T44" s="119">
        <v>0</v>
      </c>
      <c r="U44" s="119">
        <v>0</v>
      </c>
      <c r="V44" s="119">
        <v>0</v>
      </c>
      <c r="W44" s="119">
        <v>0</v>
      </c>
      <c r="X44" s="119">
        <v>379.21773981838402</v>
      </c>
      <c r="Y44" s="119">
        <v>0</v>
      </c>
      <c r="Z44" s="119">
        <v>0</v>
      </c>
      <c r="AA44" s="119">
        <v>1085.1142483526701</v>
      </c>
      <c r="AB44" s="119">
        <v>0</v>
      </c>
      <c r="AC44" s="119">
        <v>0</v>
      </c>
      <c r="AD44" s="119">
        <v>0</v>
      </c>
      <c r="AE44" s="119">
        <v>31.5368098321009</v>
      </c>
      <c r="AF44" s="119">
        <v>0</v>
      </c>
      <c r="AG44" s="119">
        <v>0</v>
      </c>
      <c r="AH44" s="119">
        <v>0</v>
      </c>
      <c r="AI44" s="119">
        <v>0</v>
      </c>
      <c r="AJ44" s="119">
        <v>0</v>
      </c>
      <c r="AK44" s="119">
        <v>0</v>
      </c>
      <c r="AL44" s="119">
        <v>0</v>
      </c>
      <c r="AM44" s="119">
        <v>0</v>
      </c>
      <c r="AN44" s="119">
        <v>274.92811417175199</v>
      </c>
      <c r="AO44" s="119">
        <v>0</v>
      </c>
      <c r="AP44" s="119">
        <v>0</v>
      </c>
      <c r="AQ44" s="119">
        <v>0</v>
      </c>
      <c r="AR44" s="119">
        <v>0</v>
      </c>
      <c r="AS44" s="119">
        <v>0</v>
      </c>
      <c r="AT44" s="120">
        <v>0</v>
      </c>
    </row>
    <row r="45" spans="2:46" ht="12" customHeight="1" x14ac:dyDescent="0.3">
      <c r="B45" s="118" t="s">
        <v>36</v>
      </c>
      <c r="C45" s="119" t="s">
        <v>33</v>
      </c>
      <c r="D45" s="119" t="s">
        <v>25</v>
      </c>
      <c r="E45" s="119" t="s">
        <v>25</v>
      </c>
      <c r="F45" s="119" t="s">
        <v>25</v>
      </c>
      <c r="G45" s="119" t="s">
        <v>35</v>
      </c>
      <c r="H45" s="119" t="s">
        <v>68</v>
      </c>
      <c r="I45" s="119" t="s">
        <v>25</v>
      </c>
      <c r="J45" s="119">
        <v>1045.6099999999999</v>
      </c>
      <c r="K45" s="119">
        <v>274.93</v>
      </c>
      <c r="L45" s="119">
        <v>29.141905998417698</v>
      </c>
      <c r="M45" s="119">
        <v>1.53731703750501</v>
      </c>
      <c r="N45" s="119">
        <v>0</v>
      </c>
      <c r="O45" s="119">
        <v>0</v>
      </c>
      <c r="P45" s="119">
        <v>0</v>
      </c>
      <c r="Q45" s="119">
        <v>90.494932846014507</v>
      </c>
      <c r="R45" s="119">
        <v>14.291741353971799</v>
      </c>
      <c r="S45" s="119">
        <v>0</v>
      </c>
      <c r="T45" s="119">
        <v>0</v>
      </c>
      <c r="U45" s="119">
        <v>0</v>
      </c>
      <c r="V45" s="119">
        <v>0</v>
      </c>
      <c r="W45" s="119">
        <v>0</v>
      </c>
      <c r="X45" s="119">
        <v>227.53450287002499</v>
      </c>
      <c r="Y45" s="119">
        <v>0</v>
      </c>
      <c r="Z45" s="119">
        <v>0</v>
      </c>
      <c r="AA45" s="119">
        <v>651.06836921977299</v>
      </c>
      <c r="AB45" s="119">
        <v>0</v>
      </c>
      <c r="AC45" s="119">
        <v>0</v>
      </c>
      <c r="AD45" s="119">
        <v>0</v>
      </c>
      <c r="AE45" s="119">
        <v>31.5368098321009</v>
      </c>
      <c r="AF45" s="119">
        <v>0</v>
      </c>
      <c r="AG45" s="119">
        <v>0</v>
      </c>
      <c r="AH45" s="119">
        <v>0</v>
      </c>
      <c r="AI45" s="119">
        <v>0</v>
      </c>
      <c r="AJ45" s="119">
        <v>0</v>
      </c>
      <c r="AK45" s="119">
        <v>0</v>
      </c>
      <c r="AL45" s="119">
        <v>0</v>
      </c>
      <c r="AM45" s="119">
        <v>0</v>
      </c>
      <c r="AN45" s="119">
        <v>274.92811417175199</v>
      </c>
      <c r="AO45" s="119">
        <v>0</v>
      </c>
      <c r="AP45" s="119">
        <v>0</v>
      </c>
      <c r="AQ45" s="119">
        <v>0</v>
      </c>
      <c r="AR45" s="119">
        <v>0</v>
      </c>
      <c r="AS45" s="119">
        <v>0</v>
      </c>
      <c r="AT45" s="120">
        <v>0</v>
      </c>
    </row>
    <row r="46" spans="2:46" ht="12" customHeight="1" x14ac:dyDescent="0.3">
      <c r="B46" s="118" t="s">
        <v>36</v>
      </c>
      <c r="C46" s="119" t="s">
        <v>33</v>
      </c>
      <c r="D46" s="119" t="s">
        <v>25</v>
      </c>
      <c r="E46" s="119" t="s">
        <v>25</v>
      </c>
      <c r="F46" s="119" t="s">
        <v>25</v>
      </c>
      <c r="G46" s="119" t="s">
        <v>34</v>
      </c>
      <c r="H46" s="119" t="s">
        <v>68</v>
      </c>
      <c r="I46" s="119" t="s">
        <v>25</v>
      </c>
      <c r="J46" s="119">
        <v>459.87</v>
      </c>
      <c r="K46" s="119">
        <v>274.93</v>
      </c>
      <c r="L46" s="119">
        <v>29.141905998417698</v>
      </c>
      <c r="M46" s="119">
        <v>1.53731703750501</v>
      </c>
      <c r="N46" s="119">
        <v>0</v>
      </c>
      <c r="O46" s="119">
        <v>0</v>
      </c>
      <c r="P46" s="119">
        <v>0</v>
      </c>
      <c r="Q46" s="119">
        <v>90.494932846014507</v>
      </c>
      <c r="R46" s="119">
        <v>14.291741353971799</v>
      </c>
      <c r="S46" s="119">
        <v>0</v>
      </c>
      <c r="T46" s="119">
        <v>0</v>
      </c>
      <c r="U46" s="119">
        <v>0</v>
      </c>
      <c r="V46" s="119">
        <v>0</v>
      </c>
      <c r="W46" s="119">
        <v>0</v>
      </c>
      <c r="X46" s="119">
        <v>75.844834290008194</v>
      </c>
      <c r="Y46" s="119">
        <v>0</v>
      </c>
      <c r="Z46" s="119">
        <v>0</v>
      </c>
      <c r="AA46" s="119">
        <v>217.02284967053299</v>
      </c>
      <c r="AB46" s="119">
        <v>0</v>
      </c>
      <c r="AC46" s="119">
        <v>0</v>
      </c>
      <c r="AD46" s="119">
        <v>0</v>
      </c>
      <c r="AE46" s="119">
        <v>31.5368098321009</v>
      </c>
      <c r="AF46" s="119">
        <v>0</v>
      </c>
      <c r="AG46" s="119">
        <v>0</v>
      </c>
      <c r="AH46" s="119">
        <v>0</v>
      </c>
      <c r="AI46" s="119">
        <v>0</v>
      </c>
      <c r="AJ46" s="119">
        <v>0</v>
      </c>
      <c r="AK46" s="119">
        <v>0</v>
      </c>
      <c r="AL46" s="119">
        <v>0</v>
      </c>
      <c r="AM46" s="119">
        <v>0</v>
      </c>
      <c r="AN46" s="119">
        <v>274.92811417175199</v>
      </c>
      <c r="AO46" s="119">
        <v>0</v>
      </c>
      <c r="AP46" s="119">
        <v>0</v>
      </c>
      <c r="AQ46" s="119">
        <v>0</v>
      </c>
      <c r="AR46" s="119">
        <v>0</v>
      </c>
      <c r="AS46" s="119">
        <v>0</v>
      </c>
      <c r="AT46" s="120">
        <v>0</v>
      </c>
    </row>
    <row r="47" spans="2:46" ht="12" customHeight="1" x14ac:dyDescent="0.3">
      <c r="B47" s="118" t="s">
        <v>36</v>
      </c>
      <c r="C47" s="119" t="s">
        <v>23</v>
      </c>
      <c r="D47" s="119" t="s">
        <v>25</v>
      </c>
      <c r="E47" s="119" t="s">
        <v>25</v>
      </c>
      <c r="F47" s="119" t="s">
        <v>25</v>
      </c>
      <c r="G47" s="119" t="s">
        <v>25</v>
      </c>
      <c r="H47" s="119" t="s">
        <v>68</v>
      </c>
      <c r="I47" s="119" t="s">
        <v>25</v>
      </c>
      <c r="J47" s="119">
        <v>624.6</v>
      </c>
      <c r="K47" s="119">
        <v>274.93</v>
      </c>
      <c r="L47" s="119">
        <v>29.141905998417698</v>
      </c>
      <c r="M47" s="119">
        <v>1.53731703750501</v>
      </c>
      <c r="N47" s="119">
        <v>0</v>
      </c>
      <c r="O47" s="119">
        <v>0</v>
      </c>
      <c r="P47" s="119">
        <v>0</v>
      </c>
      <c r="Q47" s="119">
        <v>90.494932846014507</v>
      </c>
      <c r="R47" s="119">
        <v>14.291741353971799</v>
      </c>
      <c r="S47" s="119">
        <v>0</v>
      </c>
      <c r="T47" s="119">
        <v>0</v>
      </c>
      <c r="U47" s="119">
        <v>0</v>
      </c>
      <c r="V47" s="119">
        <v>0</v>
      </c>
      <c r="W47" s="119">
        <v>0</v>
      </c>
      <c r="X47" s="119">
        <v>118.50232787741599</v>
      </c>
      <c r="Y47" s="119">
        <v>0</v>
      </c>
      <c r="Z47" s="119">
        <v>0</v>
      </c>
      <c r="AA47" s="119">
        <v>339.098174517735</v>
      </c>
      <c r="AB47" s="119">
        <v>0</v>
      </c>
      <c r="AC47" s="119">
        <v>0</v>
      </c>
      <c r="AD47" s="119">
        <v>0</v>
      </c>
      <c r="AE47" s="119">
        <v>31.5368098321009</v>
      </c>
      <c r="AF47" s="119">
        <v>0</v>
      </c>
      <c r="AG47" s="119">
        <v>0</v>
      </c>
      <c r="AH47" s="119">
        <v>0</v>
      </c>
      <c r="AI47" s="119">
        <v>0</v>
      </c>
      <c r="AJ47" s="119">
        <v>0</v>
      </c>
      <c r="AK47" s="119">
        <v>0</v>
      </c>
      <c r="AL47" s="119">
        <v>0</v>
      </c>
      <c r="AM47" s="119">
        <v>0</v>
      </c>
      <c r="AN47" s="119">
        <v>274.92811417175199</v>
      </c>
      <c r="AO47" s="119">
        <v>0</v>
      </c>
      <c r="AP47" s="119">
        <v>0</v>
      </c>
      <c r="AQ47" s="119">
        <v>0</v>
      </c>
      <c r="AR47" s="119">
        <v>0</v>
      </c>
      <c r="AS47" s="119">
        <v>0</v>
      </c>
      <c r="AT47" s="120">
        <v>0</v>
      </c>
    </row>
    <row r="48" spans="2:46" ht="12" customHeight="1" x14ac:dyDescent="0.3">
      <c r="B48" s="118" t="s">
        <v>36</v>
      </c>
      <c r="C48" s="119" t="s">
        <v>84</v>
      </c>
      <c r="D48" s="119" t="s">
        <v>25</v>
      </c>
      <c r="E48" s="119" t="s">
        <v>25</v>
      </c>
      <c r="F48" s="119" t="s">
        <v>25</v>
      </c>
      <c r="G48" s="119" t="s">
        <v>25</v>
      </c>
      <c r="H48" s="119" t="s">
        <v>68</v>
      </c>
      <c r="I48" s="119" t="s">
        <v>25</v>
      </c>
      <c r="J48" s="119">
        <v>624.6</v>
      </c>
      <c r="K48" s="119">
        <v>274.93</v>
      </c>
      <c r="L48" s="119">
        <v>29.141905998417698</v>
      </c>
      <c r="M48" s="119">
        <v>1.53731703750501</v>
      </c>
      <c r="N48" s="119">
        <v>0</v>
      </c>
      <c r="O48" s="119">
        <v>0</v>
      </c>
      <c r="P48" s="119">
        <v>0</v>
      </c>
      <c r="Q48" s="119">
        <v>90.494932846014507</v>
      </c>
      <c r="R48" s="119">
        <v>14.291741353971799</v>
      </c>
      <c r="S48" s="119">
        <v>0</v>
      </c>
      <c r="T48" s="119">
        <v>0</v>
      </c>
      <c r="U48" s="119">
        <v>0</v>
      </c>
      <c r="V48" s="119">
        <v>0</v>
      </c>
      <c r="W48" s="119">
        <v>0</v>
      </c>
      <c r="X48" s="119">
        <v>118.50232787741599</v>
      </c>
      <c r="Y48" s="119">
        <v>0</v>
      </c>
      <c r="Z48" s="119">
        <v>0</v>
      </c>
      <c r="AA48" s="119">
        <v>339.098174517735</v>
      </c>
      <c r="AB48" s="119">
        <v>0</v>
      </c>
      <c r="AC48" s="119">
        <v>0</v>
      </c>
      <c r="AD48" s="119">
        <v>0</v>
      </c>
      <c r="AE48" s="119">
        <v>31.5368098321009</v>
      </c>
      <c r="AF48" s="119">
        <v>0</v>
      </c>
      <c r="AG48" s="119">
        <v>0</v>
      </c>
      <c r="AH48" s="119">
        <v>0</v>
      </c>
      <c r="AI48" s="119">
        <v>0</v>
      </c>
      <c r="AJ48" s="119">
        <v>0</v>
      </c>
      <c r="AK48" s="119">
        <v>0</v>
      </c>
      <c r="AL48" s="119">
        <v>0</v>
      </c>
      <c r="AM48" s="119">
        <v>0</v>
      </c>
      <c r="AN48" s="119">
        <v>274.92811417175199</v>
      </c>
      <c r="AO48" s="119">
        <v>0</v>
      </c>
      <c r="AP48" s="119">
        <v>0</v>
      </c>
      <c r="AQ48" s="119">
        <v>0</v>
      </c>
      <c r="AR48" s="119">
        <v>0</v>
      </c>
      <c r="AS48" s="119">
        <v>0</v>
      </c>
      <c r="AT48" s="120">
        <v>0</v>
      </c>
    </row>
    <row r="49" spans="2:46" ht="12" customHeight="1" x14ac:dyDescent="0.3">
      <c r="B49" s="118" t="s">
        <v>44</v>
      </c>
      <c r="C49" s="119" t="s">
        <v>23</v>
      </c>
      <c r="D49" s="119" t="s">
        <v>45</v>
      </c>
      <c r="E49" s="119" t="s">
        <v>46</v>
      </c>
      <c r="F49" s="119" t="s">
        <v>25</v>
      </c>
      <c r="G49" s="119" t="s">
        <v>25</v>
      </c>
      <c r="H49" s="119" t="s">
        <v>68</v>
      </c>
      <c r="I49" s="119" t="s">
        <v>25</v>
      </c>
      <c r="J49" s="119">
        <v>343.53</v>
      </c>
      <c r="K49" s="119">
        <v>151.21</v>
      </c>
      <c r="L49" s="119">
        <v>16.0280482991298</v>
      </c>
      <c r="M49" s="119">
        <v>0.84552437062775598</v>
      </c>
      <c r="N49" s="119">
        <v>0</v>
      </c>
      <c r="O49" s="119">
        <v>0</v>
      </c>
      <c r="P49" s="119">
        <v>0</v>
      </c>
      <c r="Q49" s="119">
        <v>49.772213065308001</v>
      </c>
      <c r="R49" s="119">
        <v>7.8604577446845099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65.176280332578997</v>
      </c>
      <c r="Y49" s="119">
        <v>0</v>
      </c>
      <c r="Z49" s="119">
        <v>0</v>
      </c>
      <c r="AA49" s="119">
        <v>186.503995984754</v>
      </c>
      <c r="AB49" s="119">
        <v>0</v>
      </c>
      <c r="AC49" s="119">
        <v>0</v>
      </c>
      <c r="AD49" s="119">
        <v>0</v>
      </c>
      <c r="AE49" s="119">
        <v>17.345245407655501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0</v>
      </c>
      <c r="AN49" s="119">
        <v>151.21046279446401</v>
      </c>
      <c r="AO49" s="119">
        <v>0</v>
      </c>
      <c r="AP49" s="119">
        <v>0</v>
      </c>
      <c r="AQ49" s="119">
        <v>0</v>
      </c>
      <c r="AR49" s="119">
        <v>0</v>
      </c>
      <c r="AS49" s="119">
        <v>0</v>
      </c>
      <c r="AT49" s="120">
        <v>0</v>
      </c>
    </row>
    <row r="50" spans="2:46" ht="12" customHeight="1" x14ac:dyDescent="0.3">
      <c r="B50" s="121" t="s">
        <v>44</v>
      </c>
      <c r="C50" s="122" t="s">
        <v>23</v>
      </c>
      <c r="D50" s="122" t="s">
        <v>45</v>
      </c>
      <c r="E50" s="122" t="s">
        <v>87</v>
      </c>
      <c r="F50" s="122" t="s">
        <v>25</v>
      </c>
      <c r="G50" s="122" t="s">
        <v>25</v>
      </c>
      <c r="H50" s="122" t="s">
        <v>68</v>
      </c>
      <c r="I50" s="122" t="s">
        <v>25</v>
      </c>
      <c r="J50" s="122">
        <v>374.76</v>
      </c>
      <c r="K50" s="122">
        <v>164.96</v>
      </c>
      <c r="L50" s="122">
        <v>17.485143599050598</v>
      </c>
      <c r="M50" s="122">
        <v>0.92239022250300595</v>
      </c>
      <c r="N50" s="122">
        <v>0</v>
      </c>
      <c r="O50" s="122">
        <v>0</v>
      </c>
      <c r="P50" s="122">
        <v>0</v>
      </c>
      <c r="Q50" s="122">
        <v>54.2969597076087</v>
      </c>
      <c r="R50" s="122">
        <v>8.5750448123830996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71.101396726449806</v>
      </c>
      <c r="Y50" s="122">
        <v>0</v>
      </c>
      <c r="Z50" s="122">
        <v>0</v>
      </c>
      <c r="AA50" s="122">
        <v>203.45890471064101</v>
      </c>
      <c r="AB50" s="122">
        <v>0</v>
      </c>
      <c r="AC50" s="122">
        <v>0</v>
      </c>
      <c r="AD50" s="122">
        <v>0</v>
      </c>
      <c r="AE50" s="122">
        <v>18.922085899260502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164.956868503051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3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A7C2-F2D3-414B-93B1-2073FCDB7FEB}">
  <dimension ref="B1:AT50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24" t="s">
        <v>1077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spans="2:46" ht="12" customHeight="1" x14ac:dyDescent="0.3">
      <c r="L2" s="125" t="s">
        <v>396</v>
      </c>
      <c r="M2" s="125"/>
      <c r="N2" s="125"/>
      <c r="O2" s="125"/>
      <c r="P2" s="125"/>
      <c r="Q2" s="125"/>
      <c r="R2" s="125"/>
      <c r="S2" s="126"/>
      <c r="T2" s="125" t="s">
        <v>405</v>
      </c>
      <c r="U2" s="125"/>
      <c r="V2" s="125"/>
      <c r="W2" s="125"/>
      <c r="X2" s="125"/>
      <c r="Y2" s="125"/>
      <c r="Z2" s="126"/>
      <c r="AA2" s="127" t="s">
        <v>413</v>
      </c>
      <c r="AB2" s="125" t="s">
        <v>25</v>
      </c>
      <c r="AC2" s="125"/>
      <c r="AD2" s="126"/>
      <c r="AE2" s="125" t="s">
        <v>1076</v>
      </c>
      <c r="AF2" s="125"/>
      <c r="AG2" s="125"/>
      <c r="AH2" s="126"/>
      <c r="AI2" s="125" t="s">
        <v>396</v>
      </c>
      <c r="AJ2" s="125"/>
      <c r="AK2" s="125"/>
      <c r="AL2" s="125"/>
      <c r="AM2" s="126"/>
      <c r="AN2" s="127" t="s">
        <v>427</v>
      </c>
      <c r="AO2" s="125" t="s">
        <v>405</v>
      </c>
      <c r="AP2" s="125"/>
      <c r="AQ2" s="125"/>
      <c r="AR2" s="125"/>
      <c r="AS2" s="126"/>
      <c r="AT2" s="128" t="s">
        <v>1076</v>
      </c>
    </row>
    <row r="3" spans="2:46" ht="12" customHeight="1" x14ac:dyDescent="0.3">
      <c r="B3" s="115" t="s">
        <v>58</v>
      </c>
      <c r="C3" s="116" t="s">
        <v>59</v>
      </c>
      <c r="D3" s="116" t="s">
        <v>60</v>
      </c>
      <c r="E3" s="116" t="s">
        <v>61</v>
      </c>
      <c r="F3" s="116" t="s">
        <v>62</v>
      </c>
      <c r="G3" s="116" t="s">
        <v>64</v>
      </c>
      <c r="H3" s="116" t="s">
        <v>65</v>
      </c>
      <c r="I3" s="116" t="s">
        <v>673</v>
      </c>
      <c r="J3" s="116" t="s">
        <v>1038</v>
      </c>
      <c r="K3" s="116" t="s">
        <v>1039</v>
      </c>
      <c r="L3" s="116" t="s">
        <v>1040</v>
      </c>
      <c r="M3" s="116" t="s">
        <v>1041</v>
      </c>
      <c r="N3" s="116" t="s">
        <v>1042</v>
      </c>
      <c r="O3" s="116" t="s">
        <v>1043</v>
      </c>
      <c r="P3" s="116" t="s">
        <v>1044</v>
      </c>
      <c r="Q3" s="116" t="s">
        <v>1045</v>
      </c>
      <c r="R3" s="116" t="s">
        <v>1046</v>
      </c>
      <c r="S3" s="116" t="s">
        <v>1047</v>
      </c>
      <c r="T3" s="116" t="s">
        <v>1048</v>
      </c>
      <c r="U3" s="116" t="s">
        <v>1049</v>
      </c>
      <c r="V3" s="116" t="s">
        <v>1050</v>
      </c>
      <c r="W3" s="116" t="s">
        <v>1051</v>
      </c>
      <c r="X3" s="116" t="s">
        <v>1052</v>
      </c>
      <c r="Y3" s="116" t="s">
        <v>1053</v>
      </c>
      <c r="Z3" s="116" t="s">
        <v>1054</v>
      </c>
      <c r="AA3" s="116" t="s">
        <v>1055</v>
      </c>
      <c r="AB3" s="116" t="s">
        <v>1056</v>
      </c>
      <c r="AC3" s="116" t="s">
        <v>1057</v>
      </c>
      <c r="AD3" s="116" t="s">
        <v>1058</v>
      </c>
      <c r="AE3" s="116" t="s">
        <v>1059</v>
      </c>
      <c r="AF3" s="116" t="s">
        <v>1060</v>
      </c>
      <c r="AG3" s="116" t="s">
        <v>1061</v>
      </c>
      <c r="AH3" s="116" t="s">
        <v>1062</v>
      </c>
      <c r="AI3" s="116" t="s">
        <v>1063</v>
      </c>
      <c r="AJ3" s="116" t="s">
        <v>1064</v>
      </c>
      <c r="AK3" s="116" t="s">
        <v>1065</v>
      </c>
      <c r="AL3" s="116" t="s">
        <v>1066</v>
      </c>
      <c r="AM3" s="116" t="s">
        <v>1067</v>
      </c>
      <c r="AN3" s="116" t="s">
        <v>1068</v>
      </c>
      <c r="AO3" s="116" t="s">
        <v>1069</v>
      </c>
      <c r="AP3" s="116" t="s">
        <v>1070</v>
      </c>
      <c r="AQ3" s="116" t="s">
        <v>1071</v>
      </c>
      <c r="AR3" s="116" t="s">
        <v>1072</v>
      </c>
      <c r="AS3" s="116" t="s">
        <v>1073</v>
      </c>
      <c r="AT3" s="117" t="s">
        <v>1074</v>
      </c>
    </row>
    <row r="4" spans="2:46" ht="12" customHeight="1" x14ac:dyDescent="0.3">
      <c r="B4" s="118" t="s">
        <v>38</v>
      </c>
      <c r="C4" s="119" t="s">
        <v>73</v>
      </c>
      <c r="D4" s="119" t="s">
        <v>25</v>
      </c>
      <c r="E4" s="119" t="s">
        <v>25</v>
      </c>
      <c r="F4" s="119" t="s">
        <v>77</v>
      </c>
      <c r="G4" s="119" t="s">
        <v>40</v>
      </c>
      <c r="H4" s="119" t="s">
        <v>68</v>
      </c>
      <c r="I4" s="119" t="s">
        <v>25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>
        <v>0</v>
      </c>
      <c r="V4" s="119">
        <v>0</v>
      </c>
      <c r="W4" s="119">
        <v>0</v>
      </c>
      <c r="X4" s="119">
        <v>0</v>
      </c>
      <c r="Y4" s="119">
        <v>0</v>
      </c>
      <c r="Z4" s="119">
        <v>0</v>
      </c>
      <c r="AA4" s="119">
        <v>0</v>
      </c>
      <c r="AB4" s="119">
        <v>0</v>
      </c>
      <c r="AC4" s="119">
        <v>0</v>
      </c>
      <c r="AD4" s="119">
        <v>0</v>
      </c>
      <c r="AE4" s="119">
        <v>0</v>
      </c>
      <c r="AF4" s="119">
        <v>0</v>
      </c>
      <c r="AG4" s="119">
        <v>0</v>
      </c>
      <c r="AH4" s="119">
        <v>0</v>
      </c>
      <c r="AI4" s="119">
        <v>0</v>
      </c>
      <c r="AJ4" s="119">
        <v>0</v>
      </c>
      <c r="AK4" s="119">
        <v>0</v>
      </c>
      <c r="AL4" s="119">
        <v>0</v>
      </c>
      <c r="AM4" s="119">
        <v>0</v>
      </c>
      <c r="AN4" s="119">
        <v>0</v>
      </c>
      <c r="AO4" s="119">
        <v>0</v>
      </c>
      <c r="AP4" s="119">
        <v>0</v>
      </c>
      <c r="AQ4" s="119">
        <v>0</v>
      </c>
      <c r="AR4" s="119">
        <v>0</v>
      </c>
      <c r="AS4" s="119">
        <v>0</v>
      </c>
      <c r="AT4" s="120">
        <v>0</v>
      </c>
    </row>
    <row r="5" spans="2:46" ht="12" customHeight="1" x14ac:dyDescent="0.3">
      <c r="B5" s="118" t="s">
        <v>38</v>
      </c>
      <c r="C5" s="119" t="s">
        <v>73</v>
      </c>
      <c r="D5" s="119" t="s">
        <v>25</v>
      </c>
      <c r="E5" s="119" t="s">
        <v>25</v>
      </c>
      <c r="F5" s="119" t="s">
        <v>77</v>
      </c>
      <c r="G5" s="119" t="s">
        <v>40</v>
      </c>
      <c r="H5" s="119" t="s">
        <v>74</v>
      </c>
      <c r="I5" s="119" t="s">
        <v>25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>
        <v>0</v>
      </c>
      <c r="X5" s="119">
        <v>0</v>
      </c>
      <c r="Y5" s="119">
        <v>0</v>
      </c>
      <c r="Z5" s="119">
        <v>0</v>
      </c>
      <c r="AA5" s="119">
        <v>0</v>
      </c>
      <c r="AB5" s="119">
        <v>0</v>
      </c>
      <c r="AC5" s="119">
        <v>0</v>
      </c>
      <c r="AD5" s="119">
        <v>0</v>
      </c>
      <c r="AE5" s="119">
        <v>0</v>
      </c>
      <c r="AF5" s="119">
        <v>0</v>
      </c>
      <c r="AG5" s="119">
        <v>0</v>
      </c>
      <c r="AH5" s="119">
        <v>0</v>
      </c>
      <c r="AI5" s="119">
        <v>0</v>
      </c>
      <c r="AJ5" s="119">
        <v>0</v>
      </c>
      <c r="AK5" s="119">
        <v>0</v>
      </c>
      <c r="AL5" s="119">
        <v>0</v>
      </c>
      <c r="AM5" s="119">
        <v>0</v>
      </c>
      <c r="AN5" s="119">
        <v>0</v>
      </c>
      <c r="AO5" s="119">
        <v>0</v>
      </c>
      <c r="AP5" s="119">
        <v>0</v>
      </c>
      <c r="AQ5" s="119">
        <v>0</v>
      </c>
      <c r="AR5" s="119">
        <v>0</v>
      </c>
      <c r="AS5" s="119">
        <v>0</v>
      </c>
      <c r="AT5" s="120">
        <v>0</v>
      </c>
    </row>
    <row r="6" spans="2:46" ht="12" customHeight="1" x14ac:dyDescent="0.3">
      <c r="B6" s="118" t="s">
        <v>38</v>
      </c>
      <c r="C6" s="119" t="s">
        <v>73</v>
      </c>
      <c r="D6" s="119" t="s">
        <v>25</v>
      </c>
      <c r="E6" s="119" t="s">
        <v>25</v>
      </c>
      <c r="F6" s="119" t="s">
        <v>77</v>
      </c>
      <c r="G6" s="119" t="s">
        <v>34</v>
      </c>
      <c r="H6" s="119" t="s">
        <v>68</v>
      </c>
      <c r="I6" s="119" t="s">
        <v>25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>
        <v>0</v>
      </c>
      <c r="X6" s="119">
        <v>0</v>
      </c>
      <c r="Y6" s="119">
        <v>0</v>
      </c>
      <c r="Z6" s="119">
        <v>0</v>
      </c>
      <c r="AA6" s="119">
        <v>0</v>
      </c>
      <c r="AB6" s="119">
        <v>0</v>
      </c>
      <c r="AC6" s="119">
        <v>0</v>
      </c>
      <c r="AD6" s="119">
        <v>0</v>
      </c>
      <c r="AE6" s="119">
        <v>0</v>
      </c>
      <c r="AF6" s="119">
        <v>0</v>
      </c>
      <c r="AG6" s="119">
        <v>0</v>
      </c>
      <c r="AH6" s="119">
        <v>0</v>
      </c>
      <c r="AI6" s="119">
        <v>0</v>
      </c>
      <c r="AJ6" s="119">
        <v>0</v>
      </c>
      <c r="AK6" s="119">
        <v>0</v>
      </c>
      <c r="AL6" s="119">
        <v>0</v>
      </c>
      <c r="AM6" s="119">
        <v>0</v>
      </c>
      <c r="AN6" s="119">
        <v>0</v>
      </c>
      <c r="AO6" s="119">
        <v>0</v>
      </c>
      <c r="AP6" s="119">
        <v>0</v>
      </c>
      <c r="AQ6" s="119">
        <v>0</v>
      </c>
      <c r="AR6" s="119">
        <v>0</v>
      </c>
      <c r="AS6" s="119">
        <v>0</v>
      </c>
      <c r="AT6" s="120">
        <v>0</v>
      </c>
    </row>
    <row r="7" spans="2:46" ht="12" customHeight="1" x14ac:dyDescent="0.3">
      <c r="B7" s="118" t="s">
        <v>38</v>
      </c>
      <c r="C7" s="119" t="s">
        <v>73</v>
      </c>
      <c r="D7" s="119" t="s">
        <v>25</v>
      </c>
      <c r="E7" s="119" t="s">
        <v>25</v>
      </c>
      <c r="F7" s="119" t="s">
        <v>77</v>
      </c>
      <c r="G7" s="119" t="s">
        <v>34</v>
      </c>
      <c r="H7" s="119" t="s">
        <v>74</v>
      </c>
      <c r="I7" s="119" t="s">
        <v>25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>
        <v>0</v>
      </c>
      <c r="X7" s="119">
        <v>0</v>
      </c>
      <c r="Y7" s="119">
        <v>0</v>
      </c>
      <c r="Z7" s="119">
        <v>0</v>
      </c>
      <c r="AA7" s="119">
        <v>0</v>
      </c>
      <c r="AB7" s="119">
        <v>0</v>
      </c>
      <c r="AC7" s="119">
        <v>0</v>
      </c>
      <c r="AD7" s="119">
        <v>0</v>
      </c>
      <c r="AE7" s="119">
        <v>0</v>
      </c>
      <c r="AF7" s="119">
        <v>0</v>
      </c>
      <c r="AG7" s="119">
        <v>0</v>
      </c>
      <c r="AH7" s="119">
        <v>0</v>
      </c>
      <c r="AI7" s="119">
        <v>0</v>
      </c>
      <c r="AJ7" s="119">
        <v>0</v>
      </c>
      <c r="AK7" s="119">
        <v>0</v>
      </c>
      <c r="AL7" s="119">
        <v>0</v>
      </c>
      <c r="AM7" s="119">
        <v>0</v>
      </c>
      <c r="AN7" s="119">
        <v>0</v>
      </c>
      <c r="AO7" s="119">
        <v>0</v>
      </c>
      <c r="AP7" s="119">
        <v>0</v>
      </c>
      <c r="AQ7" s="119">
        <v>0</v>
      </c>
      <c r="AR7" s="119">
        <v>0</v>
      </c>
      <c r="AS7" s="119">
        <v>0</v>
      </c>
      <c r="AT7" s="120">
        <v>0</v>
      </c>
    </row>
    <row r="8" spans="2:46" ht="12" customHeight="1" x14ac:dyDescent="0.3">
      <c r="B8" s="118" t="s">
        <v>38</v>
      </c>
      <c r="C8" s="119" t="s">
        <v>73</v>
      </c>
      <c r="D8" s="119" t="s">
        <v>25</v>
      </c>
      <c r="E8" s="119" t="s">
        <v>25</v>
      </c>
      <c r="F8" s="119" t="s">
        <v>25</v>
      </c>
      <c r="G8" s="119" t="s">
        <v>40</v>
      </c>
      <c r="H8" s="119" t="s">
        <v>68</v>
      </c>
      <c r="I8" s="119" t="s">
        <v>25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>
        <v>0</v>
      </c>
      <c r="V8" s="119">
        <v>0</v>
      </c>
      <c r="W8" s="119">
        <v>0</v>
      </c>
      <c r="X8" s="119">
        <v>0</v>
      </c>
      <c r="Y8" s="119">
        <v>0</v>
      </c>
      <c r="Z8" s="119">
        <v>0</v>
      </c>
      <c r="AA8" s="119">
        <v>0</v>
      </c>
      <c r="AB8" s="119">
        <v>0</v>
      </c>
      <c r="AC8" s="119">
        <v>0</v>
      </c>
      <c r="AD8" s="119">
        <v>0</v>
      </c>
      <c r="AE8" s="119">
        <v>0</v>
      </c>
      <c r="AF8" s="119">
        <v>0</v>
      </c>
      <c r="AG8" s="119">
        <v>0</v>
      </c>
      <c r="AH8" s="119">
        <v>0</v>
      </c>
      <c r="AI8" s="119">
        <v>0</v>
      </c>
      <c r="AJ8" s="119">
        <v>0</v>
      </c>
      <c r="AK8" s="119">
        <v>0</v>
      </c>
      <c r="AL8" s="119">
        <v>0</v>
      </c>
      <c r="AM8" s="119">
        <v>0</v>
      </c>
      <c r="AN8" s="119">
        <v>0</v>
      </c>
      <c r="AO8" s="119">
        <v>0</v>
      </c>
      <c r="AP8" s="119">
        <v>0</v>
      </c>
      <c r="AQ8" s="119">
        <v>0</v>
      </c>
      <c r="AR8" s="119">
        <v>0</v>
      </c>
      <c r="AS8" s="119">
        <v>0</v>
      </c>
      <c r="AT8" s="120">
        <v>0</v>
      </c>
    </row>
    <row r="9" spans="2:46" ht="12" customHeight="1" x14ac:dyDescent="0.3">
      <c r="B9" s="118" t="s">
        <v>38</v>
      </c>
      <c r="C9" s="119" t="s">
        <v>73</v>
      </c>
      <c r="D9" s="119" t="s">
        <v>25</v>
      </c>
      <c r="E9" s="119" t="s">
        <v>25</v>
      </c>
      <c r="F9" s="119" t="s">
        <v>25</v>
      </c>
      <c r="G9" s="119" t="s">
        <v>40</v>
      </c>
      <c r="H9" s="119" t="s">
        <v>74</v>
      </c>
      <c r="I9" s="119" t="s">
        <v>25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>
        <v>0</v>
      </c>
      <c r="X9" s="119">
        <v>0</v>
      </c>
      <c r="Y9" s="119">
        <v>0</v>
      </c>
      <c r="Z9" s="119">
        <v>0</v>
      </c>
      <c r="AA9" s="119">
        <v>0</v>
      </c>
      <c r="AB9" s="119">
        <v>0</v>
      </c>
      <c r="AC9" s="119">
        <v>0</v>
      </c>
      <c r="AD9" s="119">
        <v>0</v>
      </c>
      <c r="AE9" s="119">
        <v>0</v>
      </c>
      <c r="AF9" s="119">
        <v>0</v>
      </c>
      <c r="AG9" s="119">
        <v>0</v>
      </c>
      <c r="AH9" s="119">
        <v>0</v>
      </c>
      <c r="AI9" s="119">
        <v>0</v>
      </c>
      <c r="AJ9" s="119">
        <v>0</v>
      </c>
      <c r="AK9" s="119">
        <v>0</v>
      </c>
      <c r="AL9" s="119">
        <v>0</v>
      </c>
      <c r="AM9" s="119">
        <v>0</v>
      </c>
      <c r="AN9" s="119">
        <v>0</v>
      </c>
      <c r="AO9" s="119">
        <v>0</v>
      </c>
      <c r="AP9" s="119">
        <v>0</v>
      </c>
      <c r="AQ9" s="119">
        <v>0</v>
      </c>
      <c r="AR9" s="119">
        <v>0</v>
      </c>
      <c r="AS9" s="119">
        <v>0</v>
      </c>
      <c r="AT9" s="120">
        <v>0</v>
      </c>
    </row>
    <row r="10" spans="2:46" ht="12" customHeight="1" x14ac:dyDescent="0.3">
      <c r="B10" s="118" t="s">
        <v>38</v>
      </c>
      <c r="C10" s="119" t="s">
        <v>73</v>
      </c>
      <c r="D10" s="119" t="s">
        <v>25</v>
      </c>
      <c r="E10" s="119" t="s">
        <v>25</v>
      </c>
      <c r="F10" s="119" t="s">
        <v>25</v>
      </c>
      <c r="G10" s="119" t="s">
        <v>34</v>
      </c>
      <c r="H10" s="119" t="s">
        <v>68</v>
      </c>
      <c r="I10" s="119" t="s">
        <v>25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  <c r="Y10" s="119">
        <v>0</v>
      </c>
      <c r="Z10" s="119">
        <v>0</v>
      </c>
      <c r="AA10" s="119">
        <v>0</v>
      </c>
      <c r="AB10" s="119">
        <v>0</v>
      </c>
      <c r="AC10" s="119">
        <v>0</v>
      </c>
      <c r="AD10" s="119">
        <v>0</v>
      </c>
      <c r="AE10" s="119">
        <v>0</v>
      </c>
      <c r="AF10" s="119">
        <v>0</v>
      </c>
      <c r="AG10" s="119">
        <v>0</v>
      </c>
      <c r="AH10" s="119">
        <v>0</v>
      </c>
      <c r="AI10" s="119">
        <v>0</v>
      </c>
      <c r="AJ10" s="119">
        <v>0</v>
      </c>
      <c r="AK10" s="119">
        <v>0</v>
      </c>
      <c r="AL10" s="119">
        <v>0</v>
      </c>
      <c r="AM10" s="119">
        <v>0</v>
      </c>
      <c r="AN10" s="119">
        <v>0</v>
      </c>
      <c r="AO10" s="119">
        <v>0</v>
      </c>
      <c r="AP10" s="119">
        <v>0</v>
      </c>
      <c r="AQ10" s="119">
        <v>0</v>
      </c>
      <c r="AR10" s="119">
        <v>0</v>
      </c>
      <c r="AS10" s="119">
        <v>0</v>
      </c>
      <c r="AT10" s="120">
        <v>0</v>
      </c>
    </row>
    <row r="11" spans="2:46" ht="12" customHeight="1" x14ac:dyDescent="0.3">
      <c r="B11" s="118" t="s">
        <v>38</v>
      </c>
      <c r="C11" s="119" t="s">
        <v>73</v>
      </c>
      <c r="D11" s="119" t="s">
        <v>25</v>
      </c>
      <c r="E11" s="119" t="s">
        <v>25</v>
      </c>
      <c r="F11" s="119" t="s">
        <v>25</v>
      </c>
      <c r="G11" s="119" t="s">
        <v>34</v>
      </c>
      <c r="H11" s="119" t="s">
        <v>74</v>
      </c>
      <c r="I11" s="119" t="s">
        <v>25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19">
        <v>0</v>
      </c>
      <c r="AA11" s="119">
        <v>0</v>
      </c>
      <c r="AB11" s="119">
        <v>0</v>
      </c>
      <c r="AC11" s="119">
        <v>0</v>
      </c>
      <c r="AD11" s="119">
        <v>0</v>
      </c>
      <c r="AE11" s="119">
        <v>0</v>
      </c>
      <c r="AF11" s="119">
        <v>0</v>
      </c>
      <c r="AG11" s="119">
        <v>0</v>
      </c>
      <c r="AH11" s="119">
        <v>0</v>
      </c>
      <c r="AI11" s="119">
        <v>0</v>
      </c>
      <c r="AJ11" s="119">
        <v>0</v>
      </c>
      <c r="AK11" s="119">
        <v>0</v>
      </c>
      <c r="AL11" s="119">
        <v>0</v>
      </c>
      <c r="AM11" s="119">
        <v>0</v>
      </c>
      <c r="AN11" s="119">
        <v>0</v>
      </c>
      <c r="AO11" s="119">
        <v>0</v>
      </c>
      <c r="AP11" s="119">
        <v>0</v>
      </c>
      <c r="AQ11" s="119">
        <v>0</v>
      </c>
      <c r="AR11" s="119">
        <v>0</v>
      </c>
      <c r="AS11" s="119">
        <v>0</v>
      </c>
      <c r="AT11" s="120">
        <v>0</v>
      </c>
    </row>
    <row r="12" spans="2:46" ht="12" customHeight="1" x14ac:dyDescent="0.3">
      <c r="B12" s="118" t="s">
        <v>38</v>
      </c>
      <c r="C12" s="119" t="s">
        <v>23</v>
      </c>
      <c r="D12" s="119" t="s">
        <v>25</v>
      </c>
      <c r="E12" s="119" t="s">
        <v>25</v>
      </c>
      <c r="F12" s="119" t="s">
        <v>25</v>
      </c>
      <c r="G12" s="119" t="s">
        <v>25</v>
      </c>
      <c r="H12" s="119" t="s">
        <v>68</v>
      </c>
      <c r="I12" s="119" t="s">
        <v>25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19">
        <v>0</v>
      </c>
      <c r="AA12" s="119">
        <v>0</v>
      </c>
      <c r="AB12" s="119">
        <v>0</v>
      </c>
      <c r="AC12" s="119">
        <v>0</v>
      </c>
      <c r="AD12" s="119">
        <v>0</v>
      </c>
      <c r="AE12" s="119">
        <v>0</v>
      </c>
      <c r="AF12" s="119">
        <v>0</v>
      </c>
      <c r="AG12" s="119">
        <v>0</v>
      </c>
      <c r="AH12" s="119">
        <v>0</v>
      </c>
      <c r="AI12" s="119">
        <v>0</v>
      </c>
      <c r="AJ12" s="119">
        <v>0</v>
      </c>
      <c r="AK12" s="119">
        <v>0</v>
      </c>
      <c r="AL12" s="119">
        <v>0</v>
      </c>
      <c r="AM12" s="119">
        <v>0</v>
      </c>
      <c r="AN12" s="119">
        <v>0</v>
      </c>
      <c r="AO12" s="119">
        <v>0</v>
      </c>
      <c r="AP12" s="119">
        <v>0</v>
      </c>
      <c r="AQ12" s="119">
        <v>0</v>
      </c>
      <c r="AR12" s="119">
        <v>0</v>
      </c>
      <c r="AS12" s="119">
        <v>0</v>
      </c>
      <c r="AT12" s="120">
        <v>0</v>
      </c>
    </row>
    <row r="13" spans="2:46" ht="12" customHeight="1" x14ac:dyDescent="0.3">
      <c r="B13" s="118" t="s">
        <v>38</v>
      </c>
      <c r="C13" s="119" t="s">
        <v>78</v>
      </c>
      <c r="D13" s="119" t="s">
        <v>25</v>
      </c>
      <c r="E13" s="119" t="s">
        <v>25</v>
      </c>
      <c r="F13" s="119" t="s">
        <v>25</v>
      </c>
      <c r="G13" s="119" t="s">
        <v>25</v>
      </c>
      <c r="H13" s="119" t="s">
        <v>74</v>
      </c>
      <c r="I13" s="119" t="s">
        <v>25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19">
        <v>0</v>
      </c>
      <c r="AA13" s="119">
        <v>0</v>
      </c>
      <c r="AB13" s="119">
        <v>0</v>
      </c>
      <c r="AC13" s="119">
        <v>0</v>
      </c>
      <c r="AD13" s="119">
        <v>0</v>
      </c>
      <c r="AE13" s="119">
        <v>0</v>
      </c>
      <c r="AF13" s="119">
        <v>0</v>
      </c>
      <c r="AG13" s="119">
        <v>0</v>
      </c>
      <c r="AH13" s="119">
        <v>0</v>
      </c>
      <c r="AI13" s="119">
        <v>0</v>
      </c>
      <c r="AJ13" s="119">
        <v>0</v>
      </c>
      <c r="AK13" s="119">
        <v>0</v>
      </c>
      <c r="AL13" s="119">
        <v>0</v>
      </c>
      <c r="AM13" s="119">
        <v>0</v>
      </c>
      <c r="AN13" s="119">
        <v>0</v>
      </c>
      <c r="AO13" s="119">
        <v>0</v>
      </c>
      <c r="AP13" s="119">
        <v>0</v>
      </c>
      <c r="AQ13" s="119">
        <v>0</v>
      </c>
      <c r="AR13" s="119">
        <v>0</v>
      </c>
      <c r="AS13" s="119">
        <v>0</v>
      </c>
      <c r="AT13" s="120">
        <v>0</v>
      </c>
    </row>
    <row r="14" spans="2:46" ht="12" customHeight="1" x14ac:dyDescent="0.3">
      <c r="B14" s="118" t="s">
        <v>38</v>
      </c>
      <c r="C14" s="119" t="s">
        <v>39</v>
      </c>
      <c r="D14" s="119" t="s">
        <v>25</v>
      </c>
      <c r="E14" s="119" t="s">
        <v>25</v>
      </c>
      <c r="F14" s="119" t="s">
        <v>77</v>
      </c>
      <c r="G14" s="119" t="s">
        <v>40</v>
      </c>
      <c r="H14" s="119" t="s">
        <v>68</v>
      </c>
      <c r="I14" s="119" t="s">
        <v>25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19">
        <v>0</v>
      </c>
      <c r="AA14" s="119">
        <v>0</v>
      </c>
      <c r="AB14" s="119">
        <v>0</v>
      </c>
      <c r="AC14" s="119">
        <v>0</v>
      </c>
      <c r="AD14" s="119">
        <v>0</v>
      </c>
      <c r="AE14" s="119">
        <v>0</v>
      </c>
      <c r="AF14" s="119">
        <v>0</v>
      </c>
      <c r="AG14" s="119">
        <v>0</v>
      </c>
      <c r="AH14" s="119">
        <v>0</v>
      </c>
      <c r="AI14" s="119">
        <v>0</v>
      </c>
      <c r="AJ14" s="119">
        <v>0</v>
      </c>
      <c r="AK14" s="119">
        <v>0</v>
      </c>
      <c r="AL14" s="119">
        <v>0</v>
      </c>
      <c r="AM14" s="119">
        <v>0</v>
      </c>
      <c r="AN14" s="119">
        <v>0</v>
      </c>
      <c r="AO14" s="119">
        <v>0</v>
      </c>
      <c r="AP14" s="119">
        <v>0</v>
      </c>
      <c r="AQ14" s="119">
        <v>0</v>
      </c>
      <c r="AR14" s="119">
        <v>0</v>
      </c>
      <c r="AS14" s="119">
        <v>0</v>
      </c>
      <c r="AT14" s="120">
        <v>0</v>
      </c>
    </row>
    <row r="15" spans="2:46" ht="12" customHeight="1" x14ac:dyDescent="0.3">
      <c r="B15" s="118" t="s">
        <v>38</v>
      </c>
      <c r="C15" s="119" t="s">
        <v>39</v>
      </c>
      <c r="D15" s="119" t="s">
        <v>25</v>
      </c>
      <c r="E15" s="119" t="s">
        <v>25</v>
      </c>
      <c r="F15" s="119" t="s">
        <v>77</v>
      </c>
      <c r="G15" s="119" t="s">
        <v>25</v>
      </c>
      <c r="H15" s="119" t="s">
        <v>74</v>
      </c>
      <c r="I15" s="119" t="s">
        <v>25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19">
        <v>0</v>
      </c>
      <c r="AA15" s="119">
        <v>0</v>
      </c>
      <c r="AB15" s="119">
        <v>0</v>
      </c>
      <c r="AC15" s="119">
        <v>0</v>
      </c>
      <c r="AD15" s="119">
        <v>0</v>
      </c>
      <c r="AE15" s="119">
        <v>0</v>
      </c>
      <c r="AF15" s="119">
        <v>0</v>
      </c>
      <c r="AG15" s="119">
        <v>0</v>
      </c>
      <c r="AH15" s="119">
        <v>0</v>
      </c>
      <c r="AI15" s="119">
        <v>0</v>
      </c>
      <c r="AJ15" s="119">
        <v>0</v>
      </c>
      <c r="AK15" s="119">
        <v>0</v>
      </c>
      <c r="AL15" s="119">
        <v>0</v>
      </c>
      <c r="AM15" s="119">
        <v>0</v>
      </c>
      <c r="AN15" s="119">
        <v>0</v>
      </c>
      <c r="AO15" s="119">
        <v>0</v>
      </c>
      <c r="AP15" s="119">
        <v>0</v>
      </c>
      <c r="AQ15" s="119">
        <v>0</v>
      </c>
      <c r="AR15" s="119">
        <v>0</v>
      </c>
      <c r="AS15" s="119">
        <v>0</v>
      </c>
      <c r="AT15" s="120">
        <v>0</v>
      </c>
    </row>
    <row r="16" spans="2:46" ht="12" customHeight="1" x14ac:dyDescent="0.3">
      <c r="B16" s="118" t="s">
        <v>38</v>
      </c>
      <c r="C16" s="119" t="s">
        <v>39</v>
      </c>
      <c r="D16" s="119" t="s">
        <v>25</v>
      </c>
      <c r="E16" s="119" t="s">
        <v>25</v>
      </c>
      <c r="F16" s="119" t="s">
        <v>77</v>
      </c>
      <c r="G16" s="119" t="s">
        <v>34</v>
      </c>
      <c r="H16" s="119" t="s">
        <v>68</v>
      </c>
      <c r="I16" s="119" t="s">
        <v>25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19">
        <v>0</v>
      </c>
      <c r="AA16" s="119">
        <v>0</v>
      </c>
      <c r="AB16" s="119">
        <v>0</v>
      </c>
      <c r="AC16" s="119">
        <v>0</v>
      </c>
      <c r="AD16" s="119">
        <v>0</v>
      </c>
      <c r="AE16" s="119">
        <v>0</v>
      </c>
      <c r="AF16" s="119">
        <v>0</v>
      </c>
      <c r="AG16" s="119">
        <v>0</v>
      </c>
      <c r="AH16" s="119">
        <v>0</v>
      </c>
      <c r="AI16" s="119">
        <v>0</v>
      </c>
      <c r="AJ16" s="119">
        <v>0</v>
      </c>
      <c r="AK16" s="119">
        <v>0</v>
      </c>
      <c r="AL16" s="119">
        <v>0</v>
      </c>
      <c r="AM16" s="119">
        <v>0</v>
      </c>
      <c r="AN16" s="119">
        <v>0</v>
      </c>
      <c r="AO16" s="119">
        <v>0</v>
      </c>
      <c r="AP16" s="119">
        <v>0</v>
      </c>
      <c r="AQ16" s="119">
        <v>0</v>
      </c>
      <c r="AR16" s="119">
        <v>0</v>
      </c>
      <c r="AS16" s="119">
        <v>0</v>
      </c>
      <c r="AT16" s="120">
        <v>0</v>
      </c>
    </row>
    <row r="17" spans="2:46" ht="12" customHeight="1" x14ac:dyDescent="0.3">
      <c r="B17" s="118" t="s">
        <v>38</v>
      </c>
      <c r="C17" s="119" t="s">
        <v>39</v>
      </c>
      <c r="D17" s="119" t="s">
        <v>25</v>
      </c>
      <c r="E17" s="119" t="s">
        <v>25</v>
      </c>
      <c r="F17" s="119" t="s">
        <v>25</v>
      </c>
      <c r="G17" s="119" t="s">
        <v>40</v>
      </c>
      <c r="H17" s="119" t="s">
        <v>68</v>
      </c>
      <c r="I17" s="119" t="s">
        <v>25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>
        <v>0</v>
      </c>
      <c r="V17" s="119">
        <v>0</v>
      </c>
      <c r="W17" s="119">
        <v>0</v>
      </c>
      <c r="X17" s="119">
        <v>0</v>
      </c>
      <c r="Y17" s="119">
        <v>0</v>
      </c>
      <c r="Z17" s="119">
        <v>0</v>
      </c>
      <c r="AA17" s="119">
        <v>0</v>
      </c>
      <c r="AB17" s="119">
        <v>0</v>
      </c>
      <c r="AC17" s="119">
        <v>0</v>
      </c>
      <c r="AD17" s="119">
        <v>0</v>
      </c>
      <c r="AE17" s="119">
        <v>0</v>
      </c>
      <c r="AF17" s="119">
        <v>0</v>
      </c>
      <c r="AG17" s="119">
        <v>0</v>
      </c>
      <c r="AH17" s="119">
        <v>0</v>
      </c>
      <c r="AI17" s="119">
        <v>0</v>
      </c>
      <c r="AJ17" s="119">
        <v>0</v>
      </c>
      <c r="AK17" s="119">
        <v>0</v>
      </c>
      <c r="AL17" s="119">
        <v>0</v>
      </c>
      <c r="AM17" s="119">
        <v>0</v>
      </c>
      <c r="AN17" s="119">
        <v>0</v>
      </c>
      <c r="AO17" s="119">
        <v>0</v>
      </c>
      <c r="AP17" s="119">
        <v>0</v>
      </c>
      <c r="AQ17" s="119">
        <v>0</v>
      </c>
      <c r="AR17" s="119">
        <v>0</v>
      </c>
      <c r="AS17" s="119">
        <v>0</v>
      </c>
      <c r="AT17" s="120">
        <v>0</v>
      </c>
    </row>
    <row r="18" spans="2:46" ht="12" customHeight="1" x14ac:dyDescent="0.3">
      <c r="B18" s="118" t="s">
        <v>38</v>
      </c>
      <c r="C18" s="119" t="s">
        <v>39</v>
      </c>
      <c r="D18" s="119" t="s">
        <v>25</v>
      </c>
      <c r="E18" s="119" t="s">
        <v>25</v>
      </c>
      <c r="F18" s="119" t="s">
        <v>25</v>
      </c>
      <c r="G18" s="119" t="s">
        <v>25</v>
      </c>
      <c r="H18" s="119" t="s">
        <v>74</v>
      </c>
      <c r="I18" s="119" t="s">
        <v>25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>
        <v>0</v>
      </c>
      <c r="X18" s="119">
        <v>0</v>
      </c>
      <c r="Y18" s="119">
        <v>0</v>
      </c>
      <c r="Z18" s="119">
        <v>0</v>
      </c>
      <c r="AA18" s="119">
        <v>0</v>
      </c>
      <c r="AB18" s="119">
        <v>0</v>
      </c>
      <c r="AC18" s="119">
        <v>0</v>
      </c>
      <c r="AD18" s="119">
        <v>0</v>
      </c>
      <c r="AE18" s="119">
        <v>0</v>
      </c>
      <c r="AF18" s="119">
        <v>0</v>
      </c>
      <c r="AG18" s="119">
        <v>0</v>
      </c>
      <c r="AH18" s="119">
        <v>0</v>
      </c>
      <c r="AI18" s="119">
        <v>0</v>
      </c>
      <c r="AJ18" s="119">
        <v>0</v>
      </c>
      <c r="AK18" s="119">
        <v>0</v>
      </c>
      <c r="AL18" s="119">
        <v>0</v>
      </c>
      <c r="AM18" s="119">
        <v>0</v>
      </c>
      <c r="AN18" s="119">
        <v>0</v>
      </c>
      <c r="AO18" s="119">
        <v>0</v>
      </c>
      <c r="AP18" s="119">
        <v>0</v>
      </c>
      <c r="AQ18" s="119">
        <v>0</v>
      </c>
      <c r="AR18" s="119">
        <v>0</v>
      </c>
      <c r="AS18" s="119">
        <v>0</v>
      </c>
      <c r="AT18" s="120">
        <v>0</v>
      </c>
    </row>
    <row r="19" spans="2:46" ht="12" customHeight="1" x14ac:dyDescent="0.3">
      <c r="B19" s="118" t="s">
        <v>38</v>
      </c>
      <c r="C19" s="119" t="s">
        <v>39</v>
      </c>
      <c r="D19" s="119" t="s">
        <v>25</v>
      </c>
      <c r="E19" s="119" t="s">
        <v>25</v>
      </c>
      <c r="F19" s="119" t="s">
        <v>25</v>
      </c>
      <c r="G19" s="119" t="s">
        <v>34</v>
      </c>
      <c r="H19" s="119" t="s">
        <v>68</v>
      </c>
      <c r="I19" s="119" t="s">
        <v>25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19">
        <v>0</v>
      </c>
      <c r="AA19" s="119">
        <v>0</v>
      </c>
      <c r="AB19" s="119">
        <v>0</v>
      </c>
      <c r="AC19" s="119">
        <v>0</v>
      </c>
      <c r="AD19" s="119">
        <v>0</v>
      </c>
      <c r="AE19" s="119">
        <v>0</v>
      </c>
      <c r="AF19" s="119">
        <v>0</v>
      </c>
      <c r="AG19" s="119">
        <v>0</v>
      </c>
      <c r="AH19" s="119">
        <v>0</v>
      </c>
      <c r="AI19" s="119">
        <v>0</v>
      </c>
      <c r="AJ19" s="119">
        <v>0</v>
      </c>
      <c r="AK19" s="119">
        <v>0</v>
      </c>
      <c r="AL19" s="119">
        <v>0</v>
      </c>
      <c r="AM19" s="119">
        <v>0</v>
      </c>
      <c r="AN19" s="119">
        <v>0</v>
      </c>
      <c r="AO19" s="119">
        <v>0</v>
      </c>
      <c r="AP19" s="119">
        <v>0</v>
      </c>
      <c r="AQ19" s="119">
        <v>0</v>
      </c>
      <c r="AR19" s="119">
        <v>0</v>
      </c>
      <c r="AS19" s="119">
        <v>0</v>
      </c>
      <c r="AT19" s="120">
        <v>0</v>
      </c>
    </row>
    <row r="20" spans="2:46" ht="12" customHeight="1" x14ac:dyDescent="0.3">
      <c r="B20" s="118" t="s">
        <v>79</v>
      </c>
      <c r="C20" s="119" t="s">
        <v>78</v>
      </c>
      <c r="D20" s="119" t="s">
        <v>25</v>
      </c>
      <c r="E20" s="119" t="s">
        <v>25</v>
      </c>
      <c r="F20" s="119" t="s">
        <v>80</v>
      </c>
      <c r="G20" s="119" t="s">
        <v>25</v>
      </c>
      <c r="H20" s="119" t="s">
        <v>74</v>
      </c>
      <c r="I20" s="119" t="s">
        <v>25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19">
        <v>0</v>
      </c>
      <c r="AA20" s="119">
        <v>0</v>
      </c>
      <c r="AB20" s="119">
        <v>0</v>
      </c>
      <c r="AC20" s="119">
        <v>0</v>
      </c>
      <c r="AD20" s="119">
        <v>0</v>
      </c>
      <c r="AE20" s="119">
        <v>0</v>
      </c>
      <c r="AF20" s="119">
        <v>0</v>
      </c>
      <c r="AG20" s="119">
        <v>0</v>
      </c>
      <c r="AH20" s="119">
        <v>0</v>
      </c>
      <c r="AI20" s="119">
        <v>0</v>
      </c>
      <c r="AJ20" s="119">
        <v>0</v>
      </c>
      <c r="AK20" s="119">
        <v>0</v>
      </c>
      <c r="AL20" s="119">
        <v>0</v>
      </c>
      <c r="AM20" s="119">
        <v>0</v>
      </c>
      <c r="AN20" s="119">
        <v>0</v>
      </c>
      <c r="AO20" s="119">
        <v>0</v>
      </c>
      <c r="AP20" s="119">
        <v>0</v>
      </c>
      <c r="AQ20" s="119">
        <v>0</v>
      </c>
      <c r="AR20" s="119">
        <v>0</v>
      </c>
      <c r="AS20" s="119">
        <v>0</v>
      </c>
      <c r="AT20" s="120">
        <v>0</v>
      </c>
    </row>
    <row r="21" spans="2:46" ht="12" customHeight="1" x14ac:dyDescent="0.3">
      <c r="B21" s="118" t="s">
        <v>79</v>
      </c>
      <c r="C21" s="119" t="s">
        <v>78</v>
      </c>
      <c r="D21" s="119" t="s">
        <v>25</v>
      </c>
      <c r="E21" s="119" t="s">
        <v>25</v>
      </c>
      <c r="F21" s="119" t="s">
        <v>81</v>
      </c>
      <c r="G21" s="119" t="s">
        <v>25</v>
      </c>
      <c r="H21" s="119" t="s">
        <v>74</v>
      </c>
      <c r="I21" s="119" t="s">
        <v>25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19">
        <v>0</v>
      </c>
      <c r="AA21" s="119">
        <v>0</v>
      </c>
      <c r="AB21" s="119">
        <v>0</v>
      </c>
      <c r="AC21" s="119">
        <v>0</v>
      </c>
      <c r="AD21" s="119">
        <v>0</v>
      </c>
      <c r="AE21" s="119">
        <v>0</v>
      </c>
      <c r="AF21" s="119">
        <v>0</v>
      </c>
      <c r="AG21" s="119">
        <v>0</v>
      </c>
      <c r="AH21" s="119">
        <v>0</v>
      </c>
      <c r="AI21" s="119">
        <v>0</v>
      </c>
      <c r="AJ21" s="119">
        <v>0</v>
      </c>
      <c r="AK21" s="119">
        <v>0</v>
      </c>
      <c r="AL21" s="119">
        <v>0</v>
      </c>
      <c r="AM21" s="119">
        <v>0</v>
      </c>
      <c r="AN21" s="119">
        <v>0</v>
      </c>
      <c r="AO21" s="119">
        <v>0</v>
      </c>
      <c r="AP21" s="119">
        <v>0</v>
      </c>
      <c r="AQ21" s="119">
        <v>0</v>
      </c>
      <c r="AR21" s="119">
        <v>0</v>
      </c>
      <c r="AS21" s="119">
        <v>0</v>
      </c>
      <c r="AT21" s="120">
        <v>0</v>
      </c>
    </row>
    <row r="22" spans="2:46" ht="12" customHeight="1" x14ac:dyDescent="0.3">
      <c r="B22" s="118" t="s">
        <v>22</v>
      </c>
      <c r="C22" s="119" t="s">
        <v>33</v>
      </c>
      <c r="D22" s="119" t="s">
        <v>24</v>
      </c>
      <c r="E22" s="119" t="s">
        <v>24</v>
      </c>
      <c r="F22" s="119" t="s">
        <v>25</v>
      </c>
      <c r="G22" s="119" t="s">
        <v>40</v>
      </c>
      <c r="H22" s="119" t="s">
        <v>68</v>
      </c>
      <c r="I22" s="119" t="s">
        <v>25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>
        <v>0</v>
      </c>
      <c r="V22" s="119">
        <v>0</v>
      </c>
      <c r="W22" s="119">
        <v>0</v>
      </c>
      <c r="X22" s="119">
        <v>0</v>
      </c>
      <c r="Y22" s="119">
        <v>0</v>
      </c>
      <c r="Z22" s="119">
        <v>0</v>
      </c>
      <c r="AA22" s="119">
        <v>0</v>
      </c>
      <c r="AB22" s="119">
        <v>0</v>
      </c>
      <c r="AC22" s="119">
        <v>0</v>
      </c>
      <c r="AD22" s="119">
        <v>0</v>
      </c>
      <c r="AE22" s="119">
        <v>0</v>
      </c>
      <c r="AF22" s="119">
        <v>0</v>
      </c>
      <c r="AG22" s="119">
        <v>0</v>
      </c>
      <c r="AH22" s="119">
        <v>0</v>
      </c>
      <c r="AI22" s="119">
        <v>0</v>
      </c>
      <c r="AJ22" s="119">
        <v>0</v>
      </c>
      <c r="AK22" s="119">
        <v>0</v>
      </c>
      <c r="AL22" s="119">
        <v>0</v>
      </c>
      <c r="AM22" s="119">
        <v>0</v>
      </c>
      <c r="AN22" s="119">
        <v>0</v>
      </c>
      <c r="AO22" s="119">
        <v>0</v>
      </c>
      <c r="AP22" s="119">
        <v>0</v>
      </c>
      <c r="AQ22" s="119">
        <v>0</v>
      </c>
      <c r="AR22" s="119">
        <v>0</v>
      </c>
      <c r="AS22" s="119">
        <v>0</v>
      </c>
      <c r="AT22" s="120">
        <v>0</v>
      </c>
    </row>
    <row r="23" spans="2:46" ht="12" customHeight="1" x14ac:dyDescent="0.3">
      <c r="B23" s="118" t="s">
        <v>22</v>
      </c>
      <c r="C23" s="119" t="s">
        <v>33</v>
      </c>
      <c r="D23" s="119" t="s">
        <v>24</v>
      </c>
      <c r="E23" s="119" t="s">
        <v>24</v>
      </c>
      <c r="F23" s="119" t="s">
        <v>25</v>
      </c>
      <c r="G23" s="119" t="s">
        <v>35</v>
      </c>
      <c r="H23" s="119" t="s">
        <v>68</v>
      </c>
      <c r="I23" s="119" t="s">
        <v>25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>
        <v>0</v>
      </c>
      <c r="V23" s="119">
        <v>0</v>
      </c>
      <c r="W23" s="119">
        <v>0</v>
      </c>
      <c r="X23" s="119">
        <v>0</v>
      </c>
      <c r="Y23" s="119">
        <v>0</v>
      </c>
      <c r="Z23" s="119">
        <v>0</v>
      </c>
      <c r="AA23" s="119">
        <v>0</v>
      </c>
      <c r="AB23" s="119">
        <v>0</v>
      </c>
      <c r="AC23" s="119">
        <v>0</v>
      </c>
      <c r="AD23" s="119">
        <v>0</v>
      </c>
      <c r="AE23" s="119">
        <v>0</v>
      </c>
      <c r="AF23" s="119">
        <v>0</v>
      </c>
      <c r="AG23" s="119">
        <v>0</v>
      </c>
      <c r="AH23" s="119">
        <v>0</v>
      </c>
      <c r="AI23" s="119">
        <v>0</v>
      </c>
      <c r="AJ23" s="119">
        <v>0</v>
      </c>
      <c r="AK23" s="119">
        <v>0</v>
      </c>
      <c r="AL23" s="119">
        <v>0</v>
      </c>
      <c r="AM23" s="119">
        <v>0</v>
      </c>
      <c r="AN23" s="119">
        <v>0</v>
      </c>
      <c r="AO23" s="119">
        <v>0</v>
      </c>
      <c r="AP23" s="119">
        <v>0</v>
      </c>
      <c r="AQ23" s="119">
        <v>0</v>
      </c>
      <c r="AR23" s="119">
        <v>0</v>
      </c>
      <c r="AS23" s="119">
        <v>0</v>
      </c>
      <c r="AT23" s="120">
        <v>0</v>
      </c>
    </row>
    <row r="24" spans="2:46" ht="12" customHeight="1" x14ac:dyDescent="0.3">
      <c r="B24" s="118" t="s">
        <v>22</v>
      </c>
      <c r="C24" s="119" t="s">
        <v>33</v>
      </c>
      <c r="D24" s="119" t="s">
        <v>24</v>
      </c>
      <c r="E24" s="119" t="s">
        <v>24</v>
      </c>
      <c r="F24" s="119" t="s">
        <v>25</v>
      </c>
      <c r="G24" s="119" t="s">
        <v>34</v>
      </c>
      <c r="H24" s="119" t="s">
        <v>68</v>
      </c>
      <c r="I24" s="119" t="s">
        <v>25</v>
      </c>
      <c r="J24" s="119">
        <v>0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>
        <v>0</v>
      </c>
      <c r="V24" s="119">
        <v>0</v>
      </c>
      <c r="W24" s="119">
        <v>0</v>
      </c>
      <c r="X24" s="119">
        <v>0</v>
      </c>
      <c r="Y24" s="119">
        <v>0</v>
      </c>
      <c r="Z24" s="119">
        <v>0</v>
      </c>
      <c r="AA24" s="119">
        <v>0</v>
      </c>
      <c r="AB24" s="119">
        <v>0</v>
      </c>
      <c r="AC24" s="119">
        <v>0</v>
      </c>
      <c r="AD24" s="119">
        <v>0</v>
      </c>
      <c r="AE24" s="119">
        <v>0</v>
      </c>
      <c r="AF24" s="119">
        <v>0</v>
      </c>
      <c r="AG24" s="119">
        <v>0</v>
      </c>
      <c r="AH24" s="119">
        <v>0</v>
      </c>
      <c r="AI24" s="119">
        <v>0</v>
      </c>
      <c r="AJ24" s="119">
        <v>0</v>
      </c>
      <c r="AK24" s="119">
        <v>0</v>
      </c>
      <c r="AL24" s="119">
        <v>0</v>
      </c>
      <c r="AM24" s="119">
        <v>0</v>
      </c>
      <c r="AN24" s="119">
        <v>0</v>
      </c>
      <c r="AO24" s="119">
        <v>0</v>
      </c>
      <c r="AP24" s="119">
        <v>0</v>
      </c>
      <c r="AQ24" s="119">
        <v>0</v>
      </c>
      <c r="AR24" s="119">
        <v>0</v>
      </c>
      <c r="AS24" s="119">
        <v>0</v>
      </c>
      <c r="AT24" s="120">
        <v>0</v>
      </c>
    </row>
    <row r="25" spans="2:46" ht="12" customHeight="1" x14ac:dyDescent="0.3">
      <c r="B25" s="118" t="s">
        <v>22</v>
      </c>
      <c r="C25" s="119" t="s">
        <v>23</v>
      </c>
      <c r="D25" s="119" t="s">
        <v>24</v>
      </c>
      <c r="E25" s="119" t="s">
        <v>1075</v>
      </c>
      <c r="F25" s="119" t="s">
        <v>25</v>
      </c>
      <c r="G25" s="119" t="s">
        <v>25</v>
      </c>
      <c r="H25" s="119" t="s">
        <v>68</v>
      </c>
      <c r="I25" s="119" t="s">
        <v>25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>
        <v>0</v>
      </c>
      <c r="X25" s="119">
        <v>0</v>
      </c>
      <c r="Y25" s="119">
        <v>0</v>
      </c>
      <c r="Z25" s="119">
        <v>0</v>
      </c>
      <c r="AA25" s="119">
        <v>0</v>
      </c>
      <c r="AB25" s="119">
        <v>0</v>
      </c>
      <c r="AC25" s="119">
        <v>0</v>
      </c>
      <c r="AD25" s="119">
        <v>0</v>
      </c>
      <c r="AE25" s="119">
        <v>0</v>
      </c>
      <c r="AF25" s="119">
        <v>0</v>
      </c>
      <c r="AG25" s="119">
        <v>0</v>
      </c>
      <c r="AH25" s="119">
        <v>0</v>
      </c>
      <c r="AI25" s="119">
        <v>0</v>
      </c>
      <c r="AJ25" s="119">
        <v>0</v>
      </c>
      <c r="AK25" s="119">
        <v>0</v>
      </c>
      <c r="AL25" s="119">
        <v>0</v>
      </c>
      <c r="AM25" s="119">
        <v>0</v>
      </c>
      <c r="AN25" s="119">
        <v>0</v>
      </c>
      <c r="AO25" s="119">
        <v>0</v>
      </c>
      <c r="AP25" s="119">
        <v>0</v>
      </c>
      <c r="AQ25" s="119">
        <v>0</v>
      </c>
      <c r="AR25" s="119">
        <v>0</v>
      </c>
      <c r="AS25" s="119">
        <v>0</v>
      </c>
      <c r="AT25" s="120">
        <v>0</v>
      </c>
    </row>
    <row r="26" spans="2:46" ht="12" customHeight="1" x14ac:dyDescent="0.3">
      <c r="B26" s="118" t="s">
        <v>22</v>
      </c>
      <c r="C26" s="119" t="s">
        <v>23</v>
      </c>
      <c r="D26" s="119" t="s">
        <v>24</v>
      </c>
      <c r="E26" s="119" t="s">
        <v>24</v>
      </c>
      <c r="F26" s="119" t="s">
        <v>25</v>
      </c>
      <c r="G26" s="119" t="s">
        <v>25</v>
      </c>
      <c r="H26" s="119" t="s">
        <v>68</v>
      </c>
      <c r="I26" s="119" t="s">
        <v>25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>
        <v>0</v>
      </c>
      <c r="V26" s="119">
        <v>0</v>
      </c>
      <c r="W26" s="119">
        <v>0</v>
      </c>
      <c r="X26" s="119">
        <v>0</v>
      </c>
      <c r="Y26" s="119">
        <v>0</v>
      </c>
      <c r="Z26" s="119">
        <v>0</v>
      </c>
      <c r="AA26" s="119">
        <v>0</v>
      </c>
      <c r="AB26" s="119">
        <v>0</v>
      </c>
      <c r="AC26" s="119">
        <v>0</v>
      </c>
      <c r="AD26" s="119">
        <v>0</v>
      </c>
      <c r="AE26" s="119">
        <v>0</v>
      </c>
      <c r="AF26" s="119">
        <v>0</v>
      </c>
      <c r="AG26" s="119">
        <v>0</v>
      </c>
      <c r="AH26" s="119">
        <v>0</v>
      </c>
      <c r="AI26" s="119">
        <v>0</v>
      </c>
      <c r="AJ26" s="119">
        <v>0</v>
      </c>
      <c r="AK26" s="119">
        <v>0</v>
      </c>
      <c r="AL26" s="119">
        <v>0</v>
      </c>
      <c r="AM26" s="119">
        <v>0</v>
      </c>
      <c r="AN26" s="119">
        <v>0</v>
      </c>
      <c r="AO26" s="119">
        <v>0</v>
      </c>
      <c r="AP26" s="119">
        <v>0</v>
      </c>
      <c r="AQ26" s="119">
        <v>0</v>
      </c>
      <c r="AR26" s="119">
        <v>0</v>
      </c>
      <c r="AS26" s="119">
        <v>0</v>
      </c>
      <c r="AT26" s="120">
        <v>0</v>
      </c>
    </row>
    <row r="27" spans="2:46" ht="12" customHeight="1" x14ac:dyDescent="0.3">
      <c r="B27" s="118" t="s">
        <v>22</v>
      </c>
      <c r="C27" s="119" t="s">
        <v>84</v>
      </c>
      <c r="D27" s="119" t="s">
        <v>24</v>
      </c>
      <c r="E27" s="119" t="s">
        <v>1075</v>
      </c>
      <c r="F27" s="119" t="s">
        <v>25</v>
      </c>
      <c r="G27" s="119" t="s">
        <v>25</v>
      </c>
      <c r="H27" s="119" t="s">
        <v>68</v>
      </c>
      <c r="I27" s="119" t="s">
        <v>25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>
        <v>0</v>
      </c>
      <c r="X27" s="119">
        <v>0</v>
      </c>
      <c r="Y27" s="119">
        <v>0</v>
      </c>
      <c r="Z27" s="119">
        <v>0</v>
      </c>
      <c r="AA27" s="119">
        <v>0</v>
      </c>
      <c r="AB27" s="119">
        <v>0</v>
      </c>
      <c r="AC27" s="119">
        <v>0</v>
      </c>
      <c r="AD27" s="119">
        <v>0</v>
      </c>
      <c r="AE27" s="119">
        <v>0</v>
      </c>
      <c r="AF27" s="119">
        <v>0</v>
      </c>
      <c r="AG27" s="119">
        <v>0</v>
      </c>
      <c r="AH27" s="119">
        <v>0</v>
      </c>
      <c r="AI27" s="119">
        <v>0</v>
      </c>
      <c r="AJ27" s="119">
        <v>0</v>
      </c>
      <c r="AK27" s="119">
        <v>0</v>
      </c>
      <c r="AL27" s="119">
        <v>0</v>
      </c>
      <c r="AM27" s="119">
        <v>0</v>
      </c>
      <c r="AN27" s="119">
        <v>0</v>
      </c>
      <c r="AO27" s="119">
        <v>0</v>
      </c>
      <c r="AP27" s="119">
        <v>0</v>
      </c>
      <c r="AQ27" s="119">
        <v>0</v>
      </c>
      <c r="AR27" s="119">
        <v>0</v>
      </c>
      <c r="AS27" s="119">
        <v>0</v>
      </c>
      <c r="AT27" s="120">
        <v>0</v>
      </c>
    </row>
    <row r="28" spans="2:46" ht="12" customHeight="1" x14ac:dyDescent="0.3">
      <c r="B28" s="118" t="s">
        <v>22</v>
      </c>
      <c r="C28" s="119" t="s">
        <v>84</v>
      </c>
      <c r="D28" s="119" t="s">
        <v>24</v>
      </c>
      <c r="E28" s="119" t="s">
        <v>24</v>
      </c>
      <c r="F28" s="119" t="s">
        <v>25</v>
      </c>
      <c r="G28" s="119" t="s">
        <v>25</v>
      </c>
      <c r="H28" s="119" t="s">
        <v>68</v>
      </c>
      <c r="I28" s="119" t="s">
        <v>25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>
        <v>0</v>
      </c>
      <c r="V28" s="119">
        <v>0</v>
      </c>
      <c r="W28" s="119">
        <v>0</v>
      </c>
      <c r="X28" s="119">
        <v>0</v>
      </c>
      <c r="Y28" s="119">
        <v>0</v>
      </c>
      <c r="Z28" s="119">
        <v>0</v>
      </c>
      <c r="AA28" s="119">
        <v>0</v>
      </c>
      <c r="AB28" s="119">
        <v>0</v>
      </c>
      <c r="AC28" s="119">
        <v>0</v>
      </c>
      <c r="AD28" s="119">
        <v>0</v>
      </c>
      <c r="AE28" s="119">
        <v>0</v>
      </c>
      <c r="AF28" s="119">
        <v>0</v>
      </c>
      <c r="AG28" s="119">
        <v>0</v>
      </c>
      <c r="AH28" s="119">
        <v>0</v>
      </c>
      <c r="AI28" s="119">
        <v>0</v>
      </c>
      <c r="AJ28" s="119">
        <v>0</v>
      </c>
      <c r="AK28" s="119">
        <v>0</v>
      </c>
      <c r="AL28" s="119">
        <v>0</v>
      </c>
      <c r="AM28" s="119">
        <v>0</v>
      </c>
      <c r="AN28" s="119">
        <v>0</v>
      </c>
      <c r="AO28" s="119">
        <v>0</v>
      </c>
      <c r="AP28" s="119">
        <v>0</v>
      </c>
      <c r="AQ28" s="119">
        <v>0</v>
      </c>
      <c r="AR28" s="119">
        <v>0</v>
      </c>
      <c r="AS28" s="119">
        <v>0</v>
      </c>
      <c r="AT28" s="120">
        <v>0</v>
      </c>
    </row>
    <row r="29" spans="2:46" ht="12" customHeight="1" x14ac:dyDescent="0.3">
      <c r="B29" s="118" t="s">
        <v>41</v>
      </c>
      <c r="C29" s="119" t="s">
        <v>33</v>
      </c>
      <c r="D29" s="119" t="s">
        <v>42</v>
      </c>
      <c r="E29" s="119" t="s">
        <v>85</v>
      </c>
      <c r="F29" s="119" t="s">
        <v>25</v>
      </c>
      <c r="G29" s="119" t="s">
        <v>40</v>
      </c>
      <c r="H29" s="119" t="s">
        <v>68</v>
      </c>
      <c r="I29" s="119" t="s">
        <v>25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19">
        <v>0</v>
      </c>
      <c r="AA29" s="119">
        <v>0</v>
      </c>
      <c r="AB29" s="119">
        <v>0</v>
      </c>
      <c r="AC29" s="119">
        <v>0</v>
      </c>
      <c r="AD29" s="119">
        <v>0</v>
      </c>
      <c r="AE29" s="119">
        <v>0</v>
      </c>
      <c r="AF29" s="119">
        <v>0</v>
      </c>
      <c r="AG29" s="119">
        <v>0</v>
      </c>
      <c r="AH29" s="119">
        <v>0</v>
      </c>
      <c r="AI29" s="119">
        <v>0</v>
      </c>
      <c r="AJ29" s="119">
        <v>0</v>
      </c>
      <c r="AK29" s="119">
        <v>0</v>
      </c>
      <c r="AL29" s="119">
        <v>0</v>
      </c>
      <c r="AM29" s="119">
        <v>0</v>
      </c>
      <c r="AN29" s="119">
        <v>0</v>
      </c>
      <c r="AO29" s="119">
        <v>0</v>
      </c>
      <c r="AP29" s="119">
        <v>0</v>
      </c>
      <c r="AQ29" s="119">
        <v>0</v>
      </c>
      <c r="AR29" s="119">
        <v>0</v>
      </c>
      <c r="AS29" s="119">
        <v>0</v>
      </c>
      <c r="AT29" s="120">
        <v>0</v>
      </c>
    </row>
    <row r="30" spans="2:46" ht="12" customHeight="1" x14ac:dyDescent="0.3">
      <c r="B30" s="118" t="s">
        <v>41</v>
      </c>
      <c r="C30" s="119" t="s">
        <v>33</v>
      </c>
      <c r="D30" s="119" t="s">
        <v>42</v>
      </c>
      <c r="E30" s="119" t="s">
        <v>85</v>
      </c>
      <c r="F30" s="119" t="s">
        <v>25</v>
      </c>
      <c r="G30" s="119" t="s">
        <v>35</v>
      </c>
      <c r="H30" s="119" t="s">
        <v>68</v>
      </c>
      <c r="I30" s="119" t="s">
        <v>25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>
        <v>0</v>
      </c>
      <c r="V30" s="119">
        <v>0</v>
      </c>
      <c r="W30" s="119">
        <v>0</v>
      </c>
      <c r="X30" s="119">
        <v>0</v>
      </c>
      <c r="Y30" s="119">
        <v>0</v>
      </c>
      <c r="Z30" s="119">
        <v>0</v>
      </c>
      <c r="AA30" s="119">
        <v>0</v>
      </c>
      <c r="AB30" s="119">
        <v>0</v>
      </c>
      <c r="AC30" s="119">
        <v>0</v>
      </c>
      <c r="AD30" s="119">
        <v>0</v>
      </c>
      <c r="AE30" s="119">
        <v>0</v>
      </c>
      <c r="AF30" s="119">
        <v>0</v>
      </c>
      <c r="AG30" s="119">
        <v>0</v>
      </c>
      <c r="AH30" s="119">
        <v>0</v>
      </c>
      <c r="AI30" s="119">
        <v>0</v>
      </c>
      <c r="AJ30" s="119">
        <v>0</v>
      </c>
      <c r="AK30" s="119">
        <v>0</v>
      </c>
      <c r="AL30" s="119">
        <v>0</v>
      </c>
      <c r="AM30" s="119">
        <v>0</v>
      </c>
      <c r="AN30" s="119">
        <v>0</v>
      </c>
      <c r="AO30" s="119">
        <v>0</v>
      </c>
      <c r="AP30" s="119">
        <v>0</v>
      </c>
      <c r="AQ30" s="119">
        <v>0</v>
      </c>
      <c r="AR30" s="119">
        <v>0</v>
      </c>
      <c r="AS30" s="119">
        <v>0</v>
      </c>
      <c r="AT30" s="120">
        <v>0</v>
      </c>
    </row>
    <row r="31" spans="2:46" ht="12" customHeight="1" x14ac:dyDescent="0.3">
      <c r="B31" s="118" t="s">
        <v>41</v>
      </c>
      <c r="C31" s="119" t="s">
        <v>33</v>
      </c>
      <c r="D31" s="119" t="s">
        <v>42</v>
      </c>
      <c r="E31" s="119" t="s">
        <v>85</v>
      </c>
      <c r="F31" s="119" t="s">
        <v>25</v>
      </c>
      <c r="G31" s="119" t="s">
        <v>34</v>
      </c>
      <c r="H31" s="119" t="s">
        <v>68</v>
      </c>
      <c r="I31" s="119" t="s">
        <v>25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19">
        <v>0</v>
      </c>
      <c r="W31" s="119">
        <v>0</v>
      </c>
      <c r="X31" s="119">
        <v>0</v>
      </c>
      <c r="Y31" s="119">
        <v>0</v>
      </c>
      <c r="Z31" s="119">
        <v>0</v>
      </c>
      <c r="AA31" s="119">
        <v>0</v>
      </c>
      <c r="AB31" s="119">
        <v>0</v>
      </c>
      <c r="AC31" s="119">
        <v>0</v>
      </c>
      <c r="AD31" s="119">
        <v>0</v>
      </c>
      <c r="AE31" s="119">
        <v>0</v>
      </c>
      <c r="AF31" s="119">
        <v>0</v>
      </c>
      <c r="AG31" s="119">
        <v>0</v>
      </c>
      <c r="AH31" s="119">
        <v>0</v>
      </c>
      <c r="AI31" s="119">
        <v>0</v>
      </c>
      <c r="AJ31" s="119">
        <v>0</v>
      </c>
      <c r="AK31" s="119">
        <v>0</v>
      </c>
      <c r="AL31" s="119">
        <v>0</v>
      </c>
      <c r="AM31" s="119">
        <v>0</v>
      </c>
      <c r="AN31" s="119">
        <v>0</v>
      </c>
      <c r="AO31" s="119">
        <v>0</v>
      </c>
      <c r="AP31" s="119">
        <v>0</v>
      </c>
      <c r="AQ31" s="119">
        <v>0</v>
      </c>
      <c r="AR31" s="119">
        <v>0</v>
      </c>
      <c r="AS31" s="119">
        <v>0</v>
      </c>
      <c r="AT31" s="120">
        <v>0</v>
      </c>
    </row>
    <row r="32" spans="2:46" ht="12" customHeight="1" x14ac:dyDescent="0.3">
      <c r="B32" s="118" t="s">
        <v>41</v>
      </c>
      <c r="C32" s="119" t="s">
        <v>33</v>
      </c>
      <c r="D32" s="119" t="s">
        <v>42</v>
      </c>
      <c r="E32" s="119" t="s">
        <v>25</v>
      </c>
      <c r="F32" s="119" t="s">
        <v>25</v>
      </c>
      <c r="G32" s="119" t="s">
        <v>40</v>
      </c>
      <c r="H32" s="119" t="s">
        <v>68</v>
      </c>
      <c r="I32" s="119" t="s">
        <v>25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>
        <v>0</v>
      </c>
      <c r="V32" s="119">
        <v>0</v>
      </c>
      <c r="W32" s="119">
        <v>0</v>
      </c>
      <c r="X32" s="119">
        <v>0</v>
      </c>
      <c r="Y32" s="119">
        <v>0</v>
      </c>
      <c r="Z32" s="119">
        <v>0</v>
      </c>
      <c r="AA32" s="119">
        <v>0</v>
      </c>
      <c r="AB32" s="119">
        <v>0</v>
      </c>
      <c r="AC32" s="119">
        <v>0</v>
      </c>
      <c r="AD32" s="119">
        <v>0</v>
      </c>
      <c r="AE32" s="119">
        <v>0</v>
      </c>
      <c r="AF32" s="119">
        <v>0</v>
      </c>
      <c r="AG32" s="119">
        <v>0</v>
      </c>
      <c r="AH32" s="119">
        <v>0</v>
      </c>
      <c r="AI32" s="119">
        <v>0</v>
      </c>
      <c r="AJ32" s="119">
        <v>0</v>
      </c>
      <c r="AK32" s="119">
        <v>0</v>
      </c>
      <c r="AL32" s="119">
        <v>0</v>
      </c>
      <c r="AM32" s="119">
        <v>0</v>
      </c>
      <c r="AN32" s="119">
        <v>0</v>
      </c>
      <c r="AO32" s="119">
        <v>0</v>
      </c>
      <c r="AP32" s="119">
        <v>0</v>
      </c>
      <c r="AQ32" s="119">
        <v>0</v>
      </c>
      <c r="AR32" s="119">
        <v>0</v>
      </c>
      <c r="AS32" s="119">
        <v>0</v>
      </c>
      <c r="AT32" s="120">
        <v>0</v>
      </c>
    </row>
    <row r="33" spans="2:46" ht="12" customHeight="1" x14ac:dyDescent="0.3">
      <c r="B33" s="118" t="s">
        <v>41</v>
      </c>
      <c r="C33" s="119" t="s">
        <v>33</v>
      </c>
      <c r="D33" s="119" t="s">
        <v>42</v>
      </c>
      <c r="E33" s="119" t="s">
        <v>25</v>
      </c>
      <c r="F33" s="119" t="s">
        <v>25</v>
      </c>
      <c r="G33" s="119" t="s">
        <v>35</v>
      </c>
      <c r="H33" s="119" t="s">
        <v>68</v>
      </c>
      <c r="I33" s="119" t="s">
        <v>25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19">
        <v>0</v>
      </c>
      <c r="X33" s="119">
        <v>0</v>
      </c>
      <c r="Y33" s="119">
        <v>0</v>
      </c>
      <c r="Z33" s="119">
        <v>0</v>
      </c>
      <c r="AA33" s="119">
        <v>0</v>
      </c>
      <c r="AB33" s="119">
        <v>0</v>
      </c>
      <c r="AC33" s="119">
        <v>0</v>
      </c>
      <c r="AD33" s="119">
        <v>0</v>
      </c>
      <c r="AE33" s="119">
        <v>0</v>
      </c>
      <c r="AF33" s="119">
        <v>0</v>
      </c>
      <c r="AG33" s="119">
        <v>0</v>
      </c>
      <c r="AH33" s="119">
        <v>0</v>
      </c>
      <c r="AI33" s="119">
        <v>0</v>
      </c>
      <c r="AJ33" s="119">
        <v>0</v>
      </c>
      <c r="AK33" s="119">
        <v>0</v>
      </c>
      <c r="AL33" s="119">
        <v>0</v>
      </c>
      <c r="AM33" s="119">
        <v>0</v>
      </c>
      <c r="AN33" s="119">
        <v>0</v>
      </c>
      <c r="AO33" s="119">
        <v>0</v>
      </c>
      <c r="AP33" s="119">
        <v>0</v>
      </c>
      <c r="AQ33" s="119">
        <v>0</v>
      </c>
      <c r="AR33" s="119">
        <v>0</v>
      </c>
      <c r="AS33" s="119">
        <v>0</v>
      </c>
      <c r="AT33" s="120">
        <v>0</v>
      </c>
    </row>
    <row r="34" spans="2:46" ht="12" customHeight="1" x14ac:dyDescent="0.3">
      <c r="B34" s="118" t="s">
        <v>41</v>
      </c>
      <c r="C34" s="119" t="s">
        <v>33</v>
      </c>
      <c r="D34" s="119" t="s">
        <v>42</v>
      </c>
      <c r="E34" s="119" t="s">
        <v>25</v>
      </c>
      <c r="F34" s="119" t="s">
        <v>25</v>
      </c>
      <c r="G34" s="119" t="s">
        <v>34</v>
      </c>
      <c r="H34" s="119" t="s">
        <v>68</v>
      </c>
      <c r="I34" s="119" t="s">
        <v>25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>
        <v>0</v>
      </c>
      <c r="V34" s="119">
        <v>0</v>
      </c>
      <c r="W34" s="119">
        <v>0</v>
      </c>
      <c r="X34" s="119">
        <v>0</v>
      </c>
      <c r="Y34" s="119">
        <v>0</v>
      </c>
      <c r="Z34" s="119">
        <v>0</v>
      </c>
      <c r="AA34" s="119">
        <v>0</v>
      </c>
      <c r="AB34" s="119">
        <v>0</v>
      </c>
      <c r="AC34" s="119">
        <v>0</v>
      </c>
      <c r="AD34" s="119">
        <v>0</v>
      </c>
      <c r="AE34" s="119">
        <v>0</v>
      </c>
      <c r="AF34" s="119">
        <v>0</v>
      </c>
      <c r="AG34" s="119">
        <v>0</v>
      </c>
      <c r="AH34" s="119">
        <v>0</v>
      </c>
      <c r="AI34" s="119">
        <v>0</v>
      </c>
      <c r="AJ34" s="119">
        <v>0</v>
      </c>
      <c r="AK34" s="119">
        <v>0</v>
      </c>
      <c r="AL34" s="119">
        <v>0</v>
      </c>
      <c r="AM34" s="119">
        <v>0</v>
      </c>
      <c r="AN34" s="119">
        <v>0</v>
      </c>
      <c r="AO34" s="119">
        <v>0</v>
      </c>
      <c r="AP34" s="119">
        <v>0</v>
      </c>
      <c r="AQ34" s="119">
        <v>0</v>
      </c>
      <c r="AR34" s="119">
        <v>0</v>
      </c>
      <c r="AS34" s="119">
        <v>0</v>
      </c>
      <c r="AT34" s="120">
        <v>0</v>
      </c>
    </row>
    <row r="35" spans="2:46" ht="12" customHeight="1" x14ac:dyDescent="0.3">
      <c r="B35" s="118" t="s">
        <v>41</v>
      </c>
      <c r="C35" s="119" t="s">
        <v>33</v>
      </c>
      <c r="D35" s="119" t="s">
        <v>42</v>
      </c>
      <c r="E35" s="119" t="s">
        <v>86</v>
      </c>
      <c r="F35" s="119" t="s">
        <v>25</v>
      </c>
      <c r="G35" s="119" t="s">
        <v>40</v>
      </c>
      <c r="H35" s="119" t="s">
        <v>68</v>
      </c>
      <c r="I35" s="119" t="s">
        <v>25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>
        <v>0</v>
      </c>
      <c r="X35" s="119">
        <v>0</v>
      </c>
      <c r="Y35" s="119">
        <v>0</v>
      </c>
      <c r="Z35" s="119">
        <v>0</v>
      </c>
      <c r="AA35" s="119">
        <v>0</v>
      </c>
      <c r="AB35" s="119">
        <v>0</v>
      </c>
      <c r="AC35" s="119">
        <v>0</v>
      </c>
      <c r="AD35" s="119">
        <v>0</v>
      </c>
      <c r="AE35" s="119">
        <v>0</v>
      </c>
      <c r="AF35" s="119">
        <v>0</v>
      </c>
      <c r="AG35" s="119">
        <v>0</v>
      </c>
      <c r="AH35" s="119">
        <v>0</v>
      </c>
      <c r="AI35" s="119">
        <v>0</v>
      </c>
      <c r="AJ35" s="119">
        <v>0</v>
      </c>
      <c r="AK35" s="119">
        <v>0</v>
      </c>
      <c r="AL35" s="119">
        <v>0</v>
      </c>
      <c r="AM35" s="119">
        <v>0</v>
      </c>
      <c r="AN35" s="119">
        <v>0</v>
      </c>
      <c r="AO35" s="119">
        <v>0</v>
      </c>
      <c r="AP35" s="119">
        <v>0</v>
      </c>
      <c r="AQ35" s="119">
        <v>0</v>
      </c>
      <c r="AR35" s="119">
        <v>0</v>
      </c>
      <c r="AS35" s="119">
        <v>0</v>
      </c>
      <c r="AT35" s="120">
        <v>0</v>
      </c>
    </row>
    <row r="36" spans="2:46" ht="12" customHeight="1" x14ac:dyDescent="0.3">
      <c r="B36" s="118" t="s">
        <v>41</v>
      </c>
      <c r="C36" s="119" t="s">
        <v>33</v>
      </c>
      <c r="D36" s="119" t="s">
        <v>42</v>
      </c>
      <c r="E36" s="119" t="s">
        <v>86</v>
      </c>
      <c r="F36" s="119" t="s">
        <v>25</v>
      </c>
      <c r="G36" s="119" t="s">
        <v>35</v>
      </c>
      <c r="H36" s="119" t="s">
        <v>68</v>
      </c>
      <c r="I36" s="119" t="s">
        <v>25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>
        <v>0</v>
      </c>
      <c r="V36" s="119">
        <v>0</v>
      </c>
      <c r="W36" s="119">
        <v>0</v>
      </c>
      <c r="X36" s="119">
        <v>0</v>
      </c>
      <c r="Y36" s="119">
        <v>0</v>
      </c>
      <c r="Z36" s="119">
        <v>0</v>
      </c>
      <c r="AA36" s="119">
        <v>0</v>
      </c>
      <c r="AB36" s="119">
        <v>0</v>
      </c>
      <c r="AC36" s="119">
        <v>0</v>
      </c>
      <c r="AD36" s="119">
        <v>0</v>
      </c>
      <c r="AE36" s="119">
        <v>0</v>
      </c>
      <c r="AF36" s="119">
        <v>0</v>
      </c>
      <c r="AG36" s="119">
        <v>0</v>
      </c>
      <c r="AH36" s="119">
        <v>0</v>
      </c>
      <c r="AI36" s="119">
        <v>0</v>
      </c>
      <c r="AJ36" s="119">
        <v>0</v>
      </c>
      <c r="AK36" s="119">
        <v>0</v>
      </c>
      <c r="AL36" s="119">
        <v>0</v>
      </c>
      <c r="AM36" s="119">
        <v>0</v>
      </c>
      <c r="AN36" s="119">
        <v>0</v>
      </c>
      <c r="AO36" s="119">
        <v>0</v>
      </c>
      <c r="AP36" s="119">
        <v>0</v>
      </c>
      <c r="AQ36" s="119">
        <v>0</v>
      </c>
      <c r="AR36" s="119">
        <v>0</v>
      </c>
      <c r="AS36" s="119">
        <v>0</v>
      </c>
      <c r="AT36" s="120">
        <v>0</v>
      </c>
    </row>
    <row r="37" spans="2:46" ht="12" customHeight="1" x14ac:dyDescent="0.3">
      <c r="B37" s="118" t="s">
        <v>41</v>
      </c>
      <c r="C37" s="119" t="s">
        <v>33</v>
      </c>
      <c r="D37" s="119" t="s">
        <v>42</v>
      </c>
      <c r="E37" s="119" t="s">
        <v>86</v>
      </c>
      <c r="F37" s="119" t="s">
        <v>25</v>
      </c>
      <c r="G37" s="119" t="s">
        <v>34</v>
      </c>
      <c r="H37" s="119" t="s">
        <v>68</v>
      </c>
      <c r="I37" s="119" t="s">
        <v>25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19">
        <v>0</v>
      </c>
      <c r="W37" s="119">
        <v>0</v>
      </c>
      <c r="X37" s="119">
        <v>0</v>
      </c>
      <c r="Y37" s="119">
        <v>0</v>
      </c>
      <c r="Z37" s="119">
        <v>0</v>
      </c>
      <c r="AA37" s="119">
        <v>0</v>
      </c>
      <c r="AB37" s="119">
        <v>0</v>
      </c>
      <c r="AC37" s="119">
        <v>0</v>
      </c>
      <c r="AD37" s="119">
        <v>0</v>
      </c>
      <c r="AE37" s="119">
        <v>0</v>
      </c>
      <c r="AF37" s="119">
        <v>0</v>
      </c>
      <c r="AG37" s="119">
        <v>0</v>
      </c>
      <c r="AH37" s="119">
        <v>0</v>
      </c>
      <c r="AI37" s="119">
        <v>0</v>
      </c>
      <c r="AJ37" s="119">
        <v>0</v>
      </c>
      <c r="AK37" s="119">
        <v>0</v>
      </c>
      <c r="AL37" s="119">
        <v>0</v>
      </c>
      <c r="AM37" s="119">
        <v>0</v>
      </c>
      <c r="AN37" s="119">
        <v>0</v>
      </c>
      <c r="AO37" s="119">
        <v>0</v>
      </c>
      <c r="AP37" s="119">
        <v>0</v>
      </c>
      <c r="AQ37" s="119">
        <v>0</v>
      </c>
      <c r="AR37" s="119">
        <v>0</v>
      </c>
      <c r="AS37" s="119">
        <v>0</v>
      </c>
      <c r="AT37" s="120">
        <v>0</v>
      </c>
    </row>
    <row r="38" spans="2:46" ht="12" customHeight="1" x14ac:dyDescent="0.3">
      <c r="B38" s="118" t="s">
        <v>41</v>
      </c>
      <c r="C38" s="119" t="s">
        <v>23</v>
      </c>
      <c r="D38" s="119" t="s">
        <v>42</v>
      </c>
      <c r="E38" s="119" t="s">
        <v>85</v>
      </c>
      <c r="F38" s="119" t="s">
        <v>25</v>
      </c>
      <c r="G38" s="119" t="s">
        <v>25</v>
      </c>
      <c r="H38" s="119" t="s">
        <v>68</v>
      </c>
      <c r="I38" s="119" t="s">
        <v>25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>
        <v>0</v>
      </c>
      <c r="V38" s="119">
        <v>0</v>
      </c>
      <c r="W38" s="119">
        <v>0</v>
      </c>
      <c r="X38" s="119">
        <v>0</v>
      </c>
      <c r="Y38" s="119">
        <v>0</v>
      </c>
      <c r="Z38" s="119">
        <v>0</v>
      </c>
      <c r="AA38" s="119">
        <v>0</v>
      </c>
      <c r="AB38" s="119">
        <v>0</v>
      </c>
      <c r="AC38" s="119">
        <v>0</v>
      </c>
      <c r="AD38" s="119">
        <v>0</v>
      </c>
      <c r="AE38" s="119">
        <v>0</v>
      </c>
      <c r="AF38" s="119">
        <v>0</v>
      </c>
      <c r="AG38" s="119">
        <v>0</v>
      </c>
      <c r="AH38" s="119">
        <v>0</v>
      </c>
      <c r="AI38" s="119">
        <v>0</v>
      </c>
      <c r="AJ38" s="119">
        <v>0</v>
      </c>
      <c r="AK38" s="119">
        <v>0</v>
      </c>
      <c r="AL38" s="119">
        <v>0</v>
      </c>
      <c r="AM38" s="119">
        <v>0</v>
      </c>
      <c r="AN38" s="119">
        <v>0</v>
      </c>
      <c r="AO38" s="119">
        <v>0</v>
      </c>
      <c r="AP38" s="119">
        <v>0</v>
      </c>
      <c r="AQ38" s="119">
        <v>0</v>
      </c>
      <c r="AR38" s="119">
        <v>0</v>
      </c>
      <c r="AS38" s="119">
        <v>0</v>
      </c>
      <c r="AT38" s="120">
        <v>0</v>
      </c>
    </row>
    <row r="39" spans="2:46" ht="12" customHeight="1" x14ac:dyDescent="0.3">
      <c r="B39" s="118" t="s">
        <v>41</v>
      </c>
      <c r="C39" s="119" t="s">
        <v>23</v>
      </c>
      <c r="D39" s="119" t="s">
        <v>42</v>
      </c>
      <c r="E39" s="119" t="s">
        <v>25</v>
      </c>
      <c r="F39" s="119" t="s">
        <v>25</v>
      </c>
      <c r="G39" s="119" t="s">
        <v>25</v>
      </c>
      <c r="H39" s="119" t="s">
        <v>68</v>
      </c>
      <c r="I39" s="119" t="s">
        <v>25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>
        <v>0</v>
      </c>
      <c r="V39" s="119">
        <v>0</v>
      </c>
      <c r="W39" s="119">
        <v>0</v>
      </c>
      <c r="X39" s="119">
        <v>0</v>
      </c>
      <c r="Y39" s="119">
        <v>0</v>
      </c>
      <c r="Z39" s="119">
        <v>0</v>
      </c>
      <c r="AA39" s="119">
        <v>0</v>
      </c>
      <c r="AB39" s="119">
        <v>0</v>
      </c>
      <c r="AC39" s="119">
        <v>0</v>
      </c>
      <c r="AD39" s="119">
        <v>0</v>
      </c>
      <c r="AE39" s="119">
        <v>0</v>
      </c>
      <c r="AF39" s="119">
        <v>0</v>
      </c>
      <c r="AG39" s="119">
        <v>0</v>
      </c>
      <c r="AH39" s="119">
        <v>0</v>
      </c>
      <c r="AI39" s="119">
        <v>0</v>
      </c>
      <c r="AJ39" s="119">
        <v>0</v>
      </c>
      <c r="AK39" s="119">
        <v>0</v>
      </c>
      <c r="AL39" s="119">
        <v>0</v>
      </c>
      <c r="AM39" s="119">
        <v>0</v>
      </c>
      <c r="AN39" s="119">
        <v>0</v>
      </c>
      <c r="AO39" s="119">
        <v>0</v>
      </c>
      <c r="AP39" s="119">
        <v>0</v>
      </c>
      <c r="AQ39" s="119">
        <v>0</v>
      </c>
      <c r="AR39" s="119">
        <v>0</v>
      </c>
      <c r="AS39" s="119">
        <v>0</v>
      </c>
      <c r="AT39" s="120">
        <v>0</v>
      </c>
    </row>
    <row r="40" spans="2:46" ht="12" customHeight="1" x14ac:dyDescent="0.3">
      <c r="B40" s="118" t="s">
        <v>41</v>
      </c>
      <c r="C40" s="119" t="s">
        <v>23</v>
      </c>
      <c r="D40" s="119" t="s">
        <v>42</v>
      </c>
      <c r="E40" s="119" t="s">
        <v>86</v>
      </c>
      <c r="F40" s="119" t="s">
        <v>25</v>
      </c>
      <c r="G40" s="119" t="s">
        <v>25</v>
      </c>
      <c r="H40" s="119" t="s">
        <v>68</v>
      </c>
      <c r="I40" s="119" t="s">
        <v>25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19">
        <v>0</v>
      </c>
      <c r="W40" s="119">
        <v>0</v>
      </c>
      <c r="X40" s="119">
        <v>0</v>
      </c>
      <c r="Y40" s="119">
        <v>0</v>
      </c>
      <c r="Z40" s="119">
        <v>0</v>
      </c>
      <c r="AA40" s="119">
        <v>0</v>
      </c>
      <c r="AB40" s="119">
        <v>0</v>
      </c>
      <c r="AC40" s="119">
        <v>0</v>
      </c>
      <c r="AD40" s="119">
        <v>0</v>
      </c>
      <c r="AE40" s="119">
        <v>0</v>
      </c>
      <c r="AF40" s="119">
        <v>0</v>
      </c>
      <c r="AG40" s="119">
        <v>0</v>
      </c>
      <c r="AH40" s="119">
        <v>0</v>
      </c>
      <c r="AI40" s="119">
        <v>0</v>
      </c>
      <c r="AJ40" s="119">
        <v>0</v>
      </c>
      <c r="AK40" s="119">
        <v>0</v>
      </c>
      <c r="AL40" s="119">
        <v>0</v>
      </c>
      <c r="AM40" s="119">
        <v>0</v>
      </c>
      <c r="AN40" s="119">
        <v>0</v>
      </c>
      <c r="AO40" s="119">
        <v>0</v>
      </c>
      <c r="AP40" s="119">
        <v>0</v>
      </c>
      <c r="AQ40" s="119">
        <v>0</v>
      </c>
      <c r="AR40" s="119">
        <v>0</v>
      </c>
      <c r="AS40" s="119">
        <v>0</v>
      </c>
      <c r="AT40" s="120">
        <v>0</v>
      </c>
    </row>
    <row r="41" spans="2:46" ht="12" customHeight="1" x14ac:dyDescent="0.3">
      <c r="B41" s="118" t="s">
        <v>41</v>
      </c>
      <c r="C41" s="119" t="s">
        <v>84</v>
      </c>
      <c r="D41" s="119" t="s">
        <v>42</v>
      </c>
      <c r="E41" s="119" t="s">
        <v>85</v>
      </c>
      <c r="F41" s="119" t="s">
        <v>25</v>
      </c>
      <c r="G41" s="119" t="s">
        <v>25</v>
      </c>
      <c r="H41" s="119" t="s">
        <v>68</v>
      </c>
      <c r="I41" s="119" t="s">
        <v>25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>
        <v>0</v>
      </c>
      <c r="V41" s="119">
        <v>0</v>
      </c>
      <c r="W41" s="119">
        <v>0</v>
      </c>
      <c r="X41" s="119">
        <v>0</v>
      </c>
      <c r="Y41" s="119">
        <v>0</v>
      </c>
      <c r="Z41" s="119">
        <v>0</v>
      </c>
      <c r="AA41" s="119">
        <v>0</v>
      </c>
      <c r="AB41" s="119">
        <v>0</v>
      </c>
      <c r="AC41" s="119">
        <v>0</v>
      </c>
      <c r="AD41" s="119">
        <v>0</v>
      </c>
      <c r="AE41" s="119">
        <v>0</v>
      </c>
      <c r="AF41" s="119">
        <v>0</v>
      </c>
      <c r="AG41" s="119">
        <v>0</v>
      </c>
      <c r="AH41" s="119">
        <v>0</v>
      </c>
      <c r="AI41" s="119">
        <v>0</v>
      </c>
      <c r="AJ41" s="119">
        <v>0</v>
      </c>
      <c r="AK41" s="119">
        <v>0</v>
      </c>
      <c r="AL41" s="119">
        <v>0</v>
      </c>
      <c r="AM41" s="119">
        <v>0</v>
      </c>
      <c r="AN41" s="119">
        <v>0</v>
      </c>
      <c r="AO41" s="119">
        <v>0</v>
      </c>
      <c r="AP41" s="119">
        <v>0</v>
      </c>
      <c r="AQ41" s="119">
        <v>0</v>
      </c>
      <c r="AR41" s="119">
        <v>0</v>
      </c>
      <c r="AS41" s="119">
        <v>0</v>
      </c>
      <c r="AT41" s="120">
        <v>0</v>
      </c>
    </row>
    <row r="42" spans="2:46" ht="12" customHeight="1" x14ac:dyDescent="0.3">
      <c r="B42" s="118" t="s">
        <v>41</v>
      </c>
      <c r="C42" s="119" t="s">
        <v>84</v>
      </c>
      <c r="D42" s="119" t="s">
        <v>42</v>
      </c>
      <c r="E42" s="119" t="s">
        <v>25</v>
      </c>
      <c r="F42" s="119" t="s">
        <v>25</v>
      </c>
      <c r="G42" s="119" t="s">
        <v>25</v>
      </c>
      <c r="H42" s="119" t="s">
        <v>68</v>
      </c>
      <c r="I42" s="119" t="s">
        <v>25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20">
        <v>0</v>
      </c>
    </row>
    <row r="43" spans="2:46" ht="12" customHeight="1" x14ac:dyDescent="0.3">
      <c r="B43" s="118" t="s">
        <v>41</v>
      </c>
      <c r="C43" s="119" t="s">
        <v>84</v>
      </c>
      <c r="D43" s="119" t="s">
        <v>42</v>
      </c>
      <c r="E43" s="119" t="s">
        <v>86</v>
      </c>
      <c r="F43" s="119" t="s">
        <v>25</v>
      </c>
      <c r="G43" s="119" t="s">
        <v>25</v>
      </c>
      <c r="H43" s="119" t="s">
        <v>68</v>
      </c>
      <c r="I43" s="119" t="s">
        <v>25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>
        <v>0</v>
      </c>
      <c r="V43" s="119">
        <v>0</v>
      </c>
      <c r="W43" s="119">
        <v>0</v>
      </c>
      <c r="X43" s="119">
        <v>0</v>
      </c>
      <c r="Y43" s="119">
        <v>0</v>
      </c>
      <c r="Z43" s="119">
        <v>0</v>
      </c>
      <c r="AA43" s="119">
        <v>0</v>
      </c>
      <c r="AB43" s="119">
        <v>0</v>
      </c>
      <c r="AC43" s="119">
        <v>0</v>
      </c>
      <c r="AD43" s="119">
        <v>0</v>
      </c>
      <c r="AE43" s="119">
        <v>0</v>
      </c>
      <c r="AF43" s="119">
        <v>0</v>
      </c>
      <c r="AG43" s="119">
        <v>0</v>
      </c>
      <c r="AH43" s="119">
        <v>0</v>
      </c>
      <c r="AI43" s="119">
        <v>0</v>
      </c>
      <c r="AJ43" s="119">
        <v>0</v>
      </c>
      <c r="AK43" s="119">
        <v>0</v>
      </c>
      <c r="AL43" s="119">
        <v>0</v>
      </c>
      <c r="AM43" s="119">
        <v>0</v>
      </c>
      <c r="AN43" s="119">
        <v>0</v>
      </c>
      <c r="AO43" s="119">
        <v>0</v>
      </c>
      <c r="AP43" s="119">
        <v>0</v>
      </c>
      <c r="AQ43" s="119">
        <v>0</v>
      </c>
      <c r="AR43" s="119">
        <v>0</v>
      </c>
      <c r="AS43" s="119">
        <v>0</v>
      </c>
      <c r="AT43" s="120">
        <v>0</v>
      </c>
    </row>
    <row r="44" spans="2:46" ht="12" customHeight="1" x14ac:dyDescent="0.3">
      <c r="B44" s="118" t="s">
        <v>36</v>
      </c>
      <c r="C44" s="119" t="s">
        <v>33</v>
      </c>
      <c r="D44" s="119" t="s">
        <v>25</v>
      </c>
      <c r="E44" s="119" t="s">
        <v>25</v>
      </c>
      <c r="F44" s="119" t="s">
        <v>25</v>
      </c>
      <c r="G44" s="119" t="s">
        <v>40</v>
      </c>
      <c r="H44" s="119" t="s">
        <v>68</v>
      </c>
      <c r="I44" s="119" t="s">
        <v>25</v>
      </c>
      <c r="J44" s="119">
        <v>0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>
        <v>0</v>
      </c>
      <c r="V44" s="119">
        <v>0</v>
      </c>
      <c r="W44" s="119">
        <v>0</v>
      </c>
      <c r="X44" s="119">
        <v>0</v>
      </c>
      <c r="Y44" s="119">
        <v>0</v>
      </c>
      <c r="Z44" s="119">
        <v>0</v>
      </c>
      <c r="AA44" s="119">
        <v>0</v>
      </c>
      <c r="AB44" s="119">
        <v>0</v>
      </c>
      <c r="AC44" s="119">
        <v>0</v>
      </c>
      <c r="AD44" s="119">
        <v>0</v>
      </c>
      <c r="AE44" s="119">
        <v>0</v>
      </c>
      <c r="AF44" s="119">
        <v>0</v>
      </c>
      <c r="AG44" s="119">
        <v>0</v>
      </c>
      <c r="AH44" s="119">
        <v>0</v>
      </c>
      <c r="AI44" s="119">
        <v>0</v>
      </c>
      <c r="AJ44" s="119">
        <v>0</v>
      </c>
      <c r="AK44" s="119">
        <v>0</v>
      </c>
      <c r="AL44" s="119">
        <v>0</v>
      </c>
      <c r="AM44" s="119">
        <v>0</v>
      </c>
      <c r="AN44" s="119">
        <v>0</v>
      </c>
      <c r="AO44" s="119">
        <v>0</v>
      </c>
      <c r="AP44" s="119">
        <v>0</v>
      </c>
      <c r="AQ44" s="119">
        <v>0</v>
      </c>
      <c r="AR44" s="119">
        <v>0</v>
      </c>
      <c r="AS44" s="119">
        <v>0</v>
      </c>
      <c r="AT44" s="120">
        <v>0</v>
      </c>
    </row>
    <row r="45" spans="2:46" ht="12" customHeight="1" x14ac:dyDescent="0.3">
      <c r="B45" s="118" t="s">
        <v>36</v>
      </c>
      <c r="C45" s="119" t="s">
        <v>33</v>
      </c>
      <c r="D45" s="119" t="s">
        <v>25</v>
      </c>
      <c r="E45" s="119" t="s">
        <v>25</v>
      </c>
      <c r="F45" s="119" t="s">
        <v>25</v>
      </c>
      <c r="G45" s="119" t="s">
        <v>35</v>
      </c>
      <c r="H45" s="119" t="s">
        <v>68</v>
      </c>
      <c r="I45" s="119" t="s">
        <v>25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>
        <v>0</v>
      </c>
      <c r="V45" s="119">
        <v>0</v>
      </c>
      <c r="W45" s="119">
        <v>0</v>
      </c>
      <c r="X45" s="119">
        <v>0</v>
      </c>
      <c r="Y45" s="119">
        <v>0</v>
      </c>
      <c r="Z45" s="119">
        <v>0</v>
      </c>
      <c r="AA45" s="119">
        <v>0</v>
      </c>
      <c r="AB45" s="119">
        <v>0</v>
      </c>
      <c r="AC45" s="119">
        <v>0</v>
      </c>
      <c r="AD45" s="119">
        <v>0</v>
      </c>
      <c r="AE45" s="119">
        <v>0</v>
      </c>
      <c r="AF45" s="119">
        <v>0</v>
      </c>
      <c r="AG45" s="119">
        <v>0</v>
      </c>
      <c r="AH45" s="119">
        <v>0</v>
      </c>
      <c r="AI45" s="119">
        <v>0</v>
      </c>
      <c r="AJ45" s="119">
        <v>0</v>
      </c>
      <c r="AK45" s="119">
        <v>0</v>
      </c>
      <c r="AL45" s="119">
        <v>0</v>
      </c>
      <c r="AM45" s="119">
        <v>0</v>
      </c>
      <c r="AN45" s="119">
        <v>0</v>
      </c>
      <c r="AO45" s="119">
        <v>0</v>
      </c>
      <c r="AP45" s="119">
        <v>0</v>
      </c>
      <c r="AQ45" s="119">
        <v>0</v>
      </c>
      <c r="AR45" s="119">
        <v>0</v>
      </c>
      <c r="AS45" s="119">
        <v>0</v>
      </c>
      <c r="AT45" s="120">
        <v>0</v>
      </c>
    </row>
    <row r="46" spans="2:46" ht="12" customHeight="1" x14ac:dyDescent="0.3">
      <c r="B46" s="118" t="s">
        <v>36</v>
      </c>
      <c r="C46" s="119" t="s">
        <v>33</v>
      </c>
      <c r="D46" s="119" t="s">
        <v>25</v>
      </c>
      <c r="E46" s="119" t="s">
        <v>25</v>
      </c>
      <c r="F46" s="119" t="s">
        <v>25</v>
      </c>
      <c r="G46" s="119" t="s">
        <v>34</v>
      </c>
      <c r="H46" s="119" t="s">
        <v>68</v>
      </c>
      <c r="I46" s="119" t="s">
        <v>25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19">
        <v>0</v>
      </c>
      <c r="W46" s="119">
        <v>0</v>
      </c>
      <c r="X46" s="119">
        <v>0</v>
      </c>
      <c r="Y46" s="119">
        <v>0</v>
      </c>
      <c r="Z46" s="119">
        <v>0</v>
      </c>
      <c r="AA46" s="119">
        <v>0</v>
      </c>
      <c r="AB46" s="119">
        <v>0</v>
      </c>
      <c r="AC46" s="119">
        <v>0</v>
      </c>
      <c r="AD46" s="119">
        <v>0</v>
      </c>
      <c r="AE46" s="119">
        <v>0</v>
      </c>
      <c r="AF46" s="119">
        <v>0</v>
      </c>
      <c r="AG46" s="119">
        <v>0</v>
      </c>
      <c r="AH46" s="119">
        <v>0</v>
      </c>
      <c r="AI46" s="119">
        <v>0</v>
      </c>
      <c r="AJ46" s="119">
        <v>0</v>
      </c>
      <c r="AK46" s="119">
        <v>0</v>
      </c>
      <c r="AL46" s="119">
        <v>0</v>
      </c>
      <c r="AM46" s="119">
        <v>0</v>
      </c>
      <c r="AN46" s="119">
        <v>0</v>
      </c>
      <c r="AO46" s="119">
        <v>0</v>
      </c>
      <c r="AP46" s="119">
        <v>0</v>
      </c>
      <c r="AQ46" s="119">
        <v>0</v>
      </c>
      <c r="AR46" s="119">
        <v>0</v>
      </c>
      <c r="AS46" s="119">
        <v>0</v>
      </c>
      <c r="AT46" s="120">
        <v>0</v>
      </c>
    </row>
    <row r="47" spans="2:46" ht="12" customHeight="1" x14ac:dyDescent="0.3">
      <c r="B47" s="118" t="s">
        <v>36</v>
      </c>
      <c r="C47" s="119" t="s">
        <v>23</v>
      </c>
      <c r="D47" s="119" t="s">
        <v>25</v>
      </c>
      <c r="E47" s="119" t="s">
        <v>25</v>
      </c>
      <c r="F47" s="119" t="s">
        <v>25</v>
      </c>
      <c r="G47" s="119" t="s">
        <v>25</v>
      </c>
      <c r="H47" s="119" t="s">
        <v>68</v>
      </c>
      <c r="I47" s="119" t="s">
        <v>25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19">
        <v>0</v>
      </c>
      <c r="W47" s="119">
        <v>0</v>
      </c>
      <c r="X47" s="119">
        <v>0</v>
      </c>
      <c r="Y47" s="119">
        <v>0</v>
      </c>
      <c r="Z47" s="119">
        <v>0</v>
      </c>
      <c r="AA47" s="119">
        <v>0</v>
      </c>
      <c r="AB47" s="119">
        <v>0</v>
      </c>
      <c r="AC47" s="119">
        <v>0</v>
      </c>
      <c r="AD47" s="119">
        <v>0</v>
      </c>
      <c r="AE47" s="119">
        <v>0</v>
      </c>
      <c r="AF47" s="119">
        <v>0</v>
      </c>
      <c r="AG47" s="119">
        <v>0</v>
      </c>
      <c r="AH47" s="119">
        <v>0</v>
      </c>
      <c r="AI47" s="119">
        <v>0</v>
      </c>
      <c r="AJ47" s="119">
        <v>0</v>
      </c>
      <c r="AK47" s="119">
        <v>0</v>
      </c>
      <c r="AL47" s="119">
        <v>0</v>
      </c>
      <c r="AM47" s="119">
        <v>0</v>
      </c>
      <c r="AN47" s="119">
        <v>0</v>
      </c>
      <c r="AO47" s="119">
        <v>0</v>
      </c>
      <c r="AP47" s="119">
        <v>0</v>
      </c>
      <c r="AQ47" s="119">
        <v>0</v>
      </c>
      <c r="AR47" s="119">
        <v>0</v>
      </c>
      <c r="AS47" s="119">
        <v>0</v>
      </c>
      <c r="AT47" s="120">
        <v>0</v>
      </c>
    </row>
    <row r="48" spans="2:46" ht="12" customHeight="1" x14ac:dyDescent="0.3">
      <c r="B48" s="118" t="s">
        <v>36</v>
      </c>
      <c r="C48" s="119" t="s">
        <v>84</v>
      </c>
      <c r="D48" s="119" t="s">
        <v>25</v>
      </c>
      <c r="E48" s="119" t="s">
        <v>25</v>
      </c>
      <c r="F48" s="119" t="s">
        <v>25</v>
      </c>
      <c r="G48" s="119" t="s">
        <v>25</v>
      </c>
      <c r="H48" s="119" t="s">
        <v>68</v>
      </c>
      <c r="I48" s="119" t="s">
        <v>25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>
        <v>0</v>
      </c>
      <c r="V48" s="119">
        <v>0</v>
      </c>
      <c r="W48" s="119">
        <v>0</v>
      </c>
      <c r="X48" s="119">
        <v>0</v>
      </c>
      <c r="Y48" s="119">
        <v>0</v>
      </c>
      <c r="Z48" s="119">
        <v>0</v>
      </c>
      <c r="AA48" s="119">
        <v>0</v>
      </c>
      <c r="AB48" s="119">
        <v>0</v>
      </c>
      <c r="AC48" s="119">
        <v>0</v>
      </c>
      <c r="AD48" s="119">
        <v>0</v>
      </c>
      <c r="AE48" s="119">
        <v>0</v>
      </c>
      <c r="AF48" s="119">
        <v>0</v>
      </c>
      <c r="AG48" s="119">
        <v>0</v>
      </c>
      <c r="AH48" s="119">
        <v>0</v>
      </c>
      <c r="AI48" s="119">
        <v>0</v>
      </c>
      <c r="AJ48" s="119">
        <v>0</v>
      </c>
      <c r="AK48" s="119">
        <v>0</v>
      </c>
      <c r="AL48" s="119">
        <v>0</v>
      </c>
      <c r="AM48" s="119">
        <v>0</v>
      </c>
      <c r="AN48" s="119">
        <v>0</v>
      </c>
      <c r="AO48" s="119">
        <v>0</v>
      </c>
      <c r="AP48" s="119">
        <v>0</v>
      </c>
      <c r="AQ48" s="119">
        <v>0</v>
      </c>
      <c r="AR48" s="119">
        <v>0</v>
      </c>
      <c r="AS48" s="119">
        <v>0</v>
      </c>
      <c r="AT48" s="120">
        <v>0</v>
      </c>
    </row>
    <row r="49" spans="2:46" ht="12" customHeight="1" x14ac:dyDescent="0.3">
      <c r="B49" s="118" t="s">
        <v>44</v>
      </c>
      <c r="C49" s="119" t="s">
        <v>23</v>
      </c>
      <c r="D49" s="119" t="s">
        <v>45</v>
      </c>
      <c r="E49" s="119" t="s">
        <v>46</v>
      </c>
      <c r="F49" s="119" t="s">
        <v>25</v>
      </c>
      <c r="G49" s="119" t="s">
        <v>25</v>
      </c>
      <c r="H49" s="119" t="s">
        <v>68</v>
      </c>
      <c r="I49" s="119" t="s">
        <v>25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0</v>
      </c>
      <c r="Y49" s="119">
        <v>0</v>
      </c>
      <c r="Z49" s="119">
        <v>0</v>
      </c>
      <c r="AA49" s="119">
        <v>0</v>
      </c>
      <c r="AB49" s="119">
        <v>0</v>
      </c>
      <c r="AC49" s="119">
        <v>0</v>
      </c>
      <c r="AD49" s="119">
        <v>0</v>
      </c>
      <c r="AE49" s="119">
        <v>0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0</v>
      </c>
      <c r="AN49" s="119">
        <v>0</v>
      </c>
      <c r="AO49" s="119">
        <v>0</v>
      </c>
      <c r="AP49" s="119">
        <v>0</v>
      </c>
      <c r="AQ49" s="119">
        <v>0</v>
      </c>
      <c r="AR49" s="119">
        <v>0</v>
      </c>
      <c r="AS49" s="119">
        <v>0</v>
      </c>
      <c r="AT49" s="120">
        <v>0</v>
      </c>
    </row>
    <row r="50" spans="2:46" ht="12" customHeight="1" x14ac:dyDescent="0.3">
      <c r="B50" s="121" t="s">
        <v>44</v>
      </c>
      <c r="C50" s="122" t="s">
        <v>23</v>
      </c>
      <c r="D50" s="122" t="s">
        <v>45</v>
      </c>
      <c r="E50" s="122" t="s">
        <v>87</v>
      </c>
      <c r="F50" s="122" t="s">
        <v>25</v>
      </c>
      <c r="G50" s="122" t="s">
        <v>25</v>
      </c>
      <c r="H50" s="122" t="s">
        <v>68</v>
      </c>
      <c r="I50" s="122" t="s">
        <v>25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3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2022-09-09T17:58:49Z</dcterms:created>
  <dcterms:modified xsi:type="dcterms:W3CDTF">2022-09-19T19:04:16Z</dcterms:modified>
</cp:coreProperties>
</file>